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ctrlProps/ctrlProp1.xml" ContentType="application/vnd.ms-excel.controlpropertie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Αυτό_το_βιβλίο_εργασίας" defaultThemeVersion="124226"/>
  <bookViews>
    <workbookView xWindow="240" yWindow="525" windowWidth="17235" windowHeight="5790"/>
  </bookViews>
  <sheets>
    <sheet name="graph" sheetId="1" r:id="rId1"/>
    <sheet name="Landen transform" sheetId="3" r:id="rId2"/>
    <sheet name="Φύλλο4" sheetId="4" r:id="rId3"/>
  </sheets>
  <definedNames>
    <definedName name="accelaration">graph!$B$6</definedName>
    <definedName name="aker1">'Landen transform'!$BC$9</definedName>
    <definedName name="aker2">'Landen transform'!$BC$10</definedName>
    <definedName name="ARPLIRON">'Landen transform'!$M$2</definedName>
    <definedName name="arxikigon">'Landen transform'!$R$8</definedName>
    <definedName name="arxikigon1">'Landen transform'!$AP$8</definedName>
    <definedName name="arxikigon2">'Landen transform'!$BL$8</definedName>
    <definedName name="DELTAX">'Landen transform'!$AE$2</definedName>
    <definedName name="DELTAX10">'Landen transform'!$GB$2</definedName>
    <definedName name="DELTAX2">'Landen transform'!$BS$2</definedName>
    <definedName name="DELTAX3">'Landen transform'!$CH$2</definedName>
    <definedName name="DELTAX4">'Landen transform'!$CV$2</definedName>
    <definedName name="DELTAX5">'Landen transform'!$DJ$2</definedName>
    <definedName name="DELTAX6">'Landen transform'!$DX$2</definedName>
    <definedName name="DELTAX7">'Landen transform'!$EL$2</definedName>
    <definedName name="DELTAX8">'Landen transform'!$EZ$2</definedName>
    <definedName name="DELTAX9">'Landen transform'!$FN$2</definedName>
    <definedName name="dt">graph!$B$8</definedName>
    <definedName name="eplires">'Landen transform'!$O$25</definedName>
    <definedName name="hmiton">graph!$N$20</definedName>
    <definedName name="intt1">'Landen transform'!$BC$7</definedName>
    <definedName name="intt2_">'Landen transform'!$BC$8</definedName>
    <definedName name="kapa">graph!$B$4</definedName>
    <definedName name="kapaelliptic">graph!$R$19</definedName>
    <definedName name="lamda">graph!$B$3</definedName>
    <definedName name="M">'Landen transform'!$B$3</definedName>
    <definedName name="Maxy">graph!$B$7</definedName>
    <definedName name="MM">'Landen transform'!$B$4</definedName>
    <definedName name="polepsilon">graph!$R$20</definedName>
    <definedName name="r_">graph!$A$21</definedName>
    <definedName name="rx">graph!$B$21</definedName>
    <definedName name="ry">graph!$C$21</definedName>
    <definedName name="SARX">'Landen transform'!$AW$23</definedName>
    <definedName name="scurrent">graph!$B$12</definedName>
    <definedName name="SDOKIMI1">'Landen transform'!$AW$22</definedName>
    <definedName name="SDOKIMI2">'Landen transform'!$BS$23</definedName>
    <definedName name="SDOKIMI3">'Landen transform'!$CH$23</definedName>
    <definedName name="synim">graph!$N$19</definedName>
    <definedName name="u">'Landen transform'!$B$2</definedName>
    <definedName name="v0">graph!$B$5</definedName>
    <definedName name="xcurrent">graph!$B$13</definedName>
    <definedName name="xx">'Landen transform'!$AW$7</definedName>
    <definedName name="ycurrent">graph!$B$14</definedName>
  </definedNames>
  <calcPr calcId="145621"/>
</workbook>
</file>

<file path=xl/calcChain.xml><?xml version="1.0" encoding="utf-8"?>
<calcChain xmlns="http://schemas.openxmlformats.org/spreadsheetml/2006/main">
  <c r="AA25" i="1" l="1"/>
  <c r="AA26" i="1" s="1"/>
  <c r="AA27" i="1" s="1"/>
  <c r="AA28" i="1" s="1"/>
  <c r="AA29" i="1" s="1"/>
  <c r="AA30" i="1" s="1"/>
  <c r="AA31" i="1" s="1"/>
  <c r="AA32" i="1" s="1"/>
  <c r="AA33" i="1" s="1"/>
  <c r="AA34" i="1" s="1"/>
  <c r="AA35" i="1" s="1"/>
  <c r="AA36" i="1" s="1"/>
  <c r="AA37" i="1" s="1"/>
  <c r="AA38" i="1" s="1"/>
  <c r="AA39" i="1" s="1"/>
  <c r="AA40" i="1" s="1"/>
  <c r="AA41" i="1" s="1"/>
  <c r="AA42" i="1" s="1"/>
  <c r="AA43" i="1" s="1"/>
  <c r="AA44" i="1" s="1"/>
  <c r="AA45" i="1" s="1"/>
  <c r="AA46" i="1" s="1"/>
  <c r="AA47" i="1" s="1"/>
  <c r="AA48" i="1" s="1"/>
  <c r="AA49" i="1" s="1"/>
  <c r="AA50" i="1" s="1"/>
  <c r="AA51" i="1" s="1"/>
  <c r="AA52" i="1" s="1"/>
  <c r="AA53" i="1" s="1"/>
  <c r="AA54" i="1" s="1"/>
  <c r="AA55" i="1" s="1"/>
  <c r="AA56" i="1" s="1"/>
  <c r="AA57" i="1" s="1"/>
  <c r="AA58" i="1" s="1"/>
  <c r="AA59" i="1" s="1"/>
  <c r="AA60" i="1" s="1"/>
  <c r="AA61" i="1" s="1"/>
  <c r="AA62" i="1" s="1"/>
  <c r="AA63" i="1" s="1"/>
  <c r="AA64" i="1" s="1"/>
  <c r="AA65" i="1" s="1"/>
  <c r="AA66" i="1" s="1"/>
  <c r="AA67" i="1" s="1"/>
  <c r="AA68" i="1" s="1"/>
  <c r="AA69" i="1" s="1"/>
  <c r="AA70" i="1" s="1"/>
  <c r="AA71" i="1" s="1"/>
  <c r="AA72" i="1" s="1"/>
  <c r="AA73" i="1" s="1"/>
  <c r="AA24" i="1"/>
  <c r="HA21" i="3" l="1"/>
  <c r="GU13" i="3"/>
  <c r="GU14" i="3" s="1"/>
  <c r="GU15" i="3" s="1"/>
  <c r="GU16" i="3" s="1"/>
  <c r="GU17" i="3" s="1"/>
  <c r="GU18" i="3" s="1"/>
  <c r="GU19" i="3" s="1"/>
  <c r="GU20" i="3" s="1"/>
  <c r="GS5" i="3"/>
  <c r="HD2" i="3"/>
  <c r="GM21" i="3"/>
  <c r="GG13" i="3"/>
  <c r="GG14" i="3" s="1"/>
  <c r="GG15" i="3" s="1"/>
  <c r="GG16" i="3" s="1"/>
  <c r="GG17" i="3" s="1"/>
  <c r="GG18" i="3" s="1"/>
  <c r="GG19" i="3" s="1"/>
  <c r="GG20" i="3" s="1"/>
  <c r="GE5" i="3"/>
  <c r="GP2" i="3"/>
  <c r="FN2" i="3"/>
  <c r="FY21" i="3"/>
  <c r="FS13" i="3"/>
  <c r="FS14" i="3" s="1"/>
  <c r="FS15" i="3" s="1"/>
  <c r="FS16" i="3" s="1"/>
  <c r="FS17" i="3" s="1"/>
  <c r="FS18" i="3" s="1"/>
  <c r="FS19" i="3" s="1"/>
  <c r="FS20" i="3" s="1"/>
  <c r="FQ5" i="3"/>
  <c r="GB2" i="3"/>
  <c r="FK21" i="3"/>
  <c r="FE13" i="3"/>
  <c r="FE14" i="3" s="1"/>
  <c r="FE15" i="3" s="1"/>
  <c r="FE16" i="3" s="1"/>
  <c r="FE17" i="3" s="1"/>
  <c r="FE18" i="3" s="1"/>
  <c r="FE19" i="3" s="1"/>
  <c r="FE20" i="3" s="1"/>
  <c r="FC5" i="3"/>
  <c r="EL2" i="3"/>
  <c r="EZ2" i="3"/>
  <c r="EW21" i="3"/>
  <c r="EQ13" i="3"/>
  <c r="EQ14" i="3" s="1"/>
  <c r="EQ15" i="3" s="1"/>
  <c r="EQ16" i="3" s="1"/>
  <c r="EQ17" i="3" s="1"/>
  <c r="EQ18" i="3" s="1"/>
  <c r="EQ19" i="3" s="1"/>
  <c r="EQ20" i="3" s="1"/>
  <c r="EO5" i="3"/>
  <c r="EI21" i="3"/>
  <c r="EC13" i="3"/>
  <c r="EC14" i="3" s="1"/>
  <c r="EC15" i="3" s="1"/>
  <c r="EC16" i="3" s="1"/>
  <c r="EC17" i="3" s="1"/>
  <c r="EC18" i="3" s="1"/>
  <c r="EC19" i="3" s="1"/>
  <c r="EC20" i="3" s="1"/>
  <c r="EA5" i="3"/>
  <c r="DX2" i="3"/>
  <c r="DU21" i="3"/>
  <c r="DO18" i="3"/>
  <c r="DO19" i="3" s="1"/>
  <c r="DO20" i="3" s="1"/>
  <c r="DO13" i="3"/>
  <c r="DO14" i="3" s="1"/>
  <c r="DO15" i="3" s="1"/>
  <c r="DO16" i="3" s="1"/>
  <c r="DO17" i="3" s="1"/>
  <c r="DM5" i="3"/>
  <c r="DJ2" i="3"/>
  <c r="DG21" i="3"/>
  <c r="DA13" i="3"/>
  <c r="DA14" i="3" s="1"/>
  <c r="DA15" i="3" s="1"/>
  <c r="DA16" i="3" s="1"/>
  <c r="DA17" i="3" s="1"/>
  <c r="DA18" i="3" s="1"/>
  <c r="DA19" i="3" s="1"/>
  <c r="DA20" i="3" s="1"/>
  <c r="CY5" i="3"/>
  <c r="AE2" i="3"/>
  <c r="AC17" i="3"/>
  <c r="AB20" i="3"/>
  <c r="AB21" i="3" s="1"/>
  <c r="AB22" i="3" s="1"/>
  <c r="AB23" i="3" s="1"/>
  <c r="AB24" i="3" s="1"/>
  <c r="AB25" i="3" s="1"/>
  <c r="AB26" i="3" s="1"/>
  <c r="AB27" i="3" s="1"/>
  <c r="AB19" i="3"/>
  <c r="AC18" i="3"/>
  <c r="AC19" i="3" s="1"/>
  <c r="AC20" i="3" s="1"/>
  <c r="AC21" i="3" s="1"/>
  <c r="AC22" i="3" s="1"/>
  <c r="AC23" i="3" s="1"/>
  <c r="AC24" i="3" s="1"/>
  <c r="AC25" i="3" s="1"/>
  <c r="AC26" i="3" s="1"/>
  <c r="AC27" i="3" s="1"/>
  <c r="CS21" i="3"/>
  <c r="CM13" i="3"/>
  <c r="CM14" i="3" s="1"/>
  <c r="CM15" i="3" s="1"/>
  <c r="CM16" i="3" s="1"/>
  <c r="CM17" i="3" s="1"/>
  <c r="CM18" i="3" s="1"/>
  <c r="CM19" i="3" s="1"/>
  <c r="CM20" i="3" s="1"/>
  <c r="CK5" i="3"/>
  <c r="CE21" i="3"/>
  <c r="BY13" i="3"/>
  <c r="BY14" i="3" s="1"/>
  <c r="BY15" i="3" s="1"/>
  <c r="BY16" i="3" s="1"/>
  <c r="BY17" i="3" s="1"/>
  <c r="BY18" i="3" s="1"/>
  <c r="BY19" i="3" s="1"/>
  <c r="BY20" i="3" s="1"/>
  <c r="BW5" i="3"/>
  <c r="BS2" i="3"/>
  <c r="CH2" i="3" s="1"/>
  <c r="CV2" i="3" s="1"/>
  <c r="AT2" i="3"/>
  <c r="Q3" i="3"/>
  <c r="AC28" i="3" l="1"/>
  <c r="L2" i="1"/>
  <c r="B12" i="1" s="1"/>
  <c r="B15" i="1" l="1"/>
  <c r="BB6" i="3"/>
  <c r="BC6" i="3" s="1"/>
  <c r="BD6" i="3" s="1"/>
  <c r="BE6" i="3" s="1"/>
  <c r="BF6" i="3" s="1"/>
  <c r="BA6" i="3"/>
  <c r="BC11" i="3"/>
  <c r="BC12" i="3"/>
  <c r="BC10" i="3"/>
  <c r="BC9" i="3"/>
  <c r="BD10" i="3"/>
  <c r="BC8" i="3"/>
  <c r="BC7" i="3"/>
  <c r="BN28" i="3" l="1"/>
  <c r="BO28" i="3" s="1"/>
  <c r="BP21" i="3"/>
  <c r="BJ14" i="3"/>
  <c r="BJ15" i="3" s="1"/>
  <c r="BJ16" i="3" s="1"/>
  <c r="BJ17" i="3" s="1"/>
  <c r="BJ18" i="3" s="1"/>
  <c r="BJ19" i="3" s="1"/>
  <c r="BJ20" i="3" s="1"/>
  <c r="BJ13" i="3"/>
  <c r="BG11" i="3"/>
  <c r="AR28" i="3"/>
  <c r="AS28" i="3" s="1"/>
  <c r="AT21" i="3"/>
  <c r="AN14" i="3"/>
  <c r="AN15" i="3" s="1"/>
  <c r="AN16" i="3" s="1"/>
  <c r="AN17" i="3" s="1"/>
  <c r="AN18" i="3" s="1"/>
  <c r="AN19" i="3" s="1"/>
  <c r="AN20" i="3" s="1"/>
  <c r="AN13" i="3"/>
  <c r="AK11" i="3"/>
  <c r="BN29" i="3" l="1"/>
  <c r="BN30" i="3" s="1"/>
  <c r="BO30" i="3" s="1"/>
  <c r="AR29" i="3"/>
  <c r="AR30" i="3" s="1"/>
  <c r="AS30" i="3" s="1"/>
  <c r="AS29" i="3"/>
  <c r="V21" i="3"/>
  <c r="AR31" i="3" l="1"/>
  <c r="AS31" i="3" s="1"/>
  <c r="BO29" i="3"/>
  <c r="BN31" i="3"/>
  <c r="BN32" i="3"/>
  <c r="BO32" i="3" s="1"/>
  <c r="BO31" i="3"/>
  <c r="AR32" i="3"/>
  <c r="AS32" i="3" s="1"/>
  <c r="T28" i="3"/>
  <c r="U28" i="3" s="1"/>
  <c r="T29" i="3" l="1"/>
  <c r="P13" i="3"/>
  <c r="P14" i="3" s="1"/>
  <c r="P15" i="3" s="1"/>
  <c r="P16" i="3" s="1"/>
  <c r="P17" i="3" s="1"/>
  <c r="P18" i="3" s="1"/>
  <c r="P19" i="3" s="1"/>
  <c r="P20" i="3" s="1"/>
  <c r="M11" i="3"/>
  <c r="U29" i="3" l="1"/>
  <c r="T30" i="3"/>
  <c r="T31" i="3" l="1"/>
  <c r="U30" i="3"/>
  <c r="B6" i="3"/>
  <c r="A7" i="3"/>
  <c r="D6" i="3"/>
  <c r="F6" i="3" s="1"/>
  <c r="C6" i="3"/>
  <c r="B7" i="3" s="1"/>
  <c r="U31" i="3" l="1"/>
  <c r="T32" i="3"/>
  <c r="E7" i="3"/>
  <c r="A8" i="3"/>
  <c r="D7" i="3"/>
  <c r="F7" i="3" s="1"/>
  <c r="E6" i="3"/>
  <c r="C7" i="3"/>
  <c r="C8" i="3" s="1"/>
  <c r="U32" i="3" l="1"/>
  <c r="T33" i="3"/>
  <c r="D8" i="3"/>
  <c r="F8" i="3" s="1"/>
  <c r="B8" i="3"/>
  <c r="E8" i="3" s="1"/>
  <c r="A9" i="3"/>
  <c r="U33" i="3" l="1"/>
  <c r="T34" i="3"/>
  <c r="G7" i="3"/>
  <c r="A10" i="3"/>
  <c r="D9" i="3"/>
  <c r="F9" i="3" s="1"/>
  <c r="C9" i="3"/>
  <c r="B9" i="3"/>
  <c r="U34" i="3" l="1"/>
  <c r="T35" i="3"/>
  <c r="G8" i="3"/>
  <c r="D10" i="3"/>
  <c r="F10" i="3" s="1"/>
  <c r="C10" i="3"/>
  <c r="B10" i="3"/>
  <c r="E10" i="3"/>
  <c r="A11" i="3"/>
  <c r="E9" i="3"/>
  <c r="U35" i="3" l="1"/>
  <c r="T36" i="3"/>
  <c r="G9" i="3"/>
  <c r="A12" i="3"/>
  <c r="D11" i="3"/>
  <c r="F11" i="3" s="1"/>
  <c r="C11" i="3"/>
  <c r="B11" i="3"/>
  <c r="U36" i="3" l="1"/>
  <c r="T37" i="3"/>
  <c r="G10" i="3"/>
  <c r="D12" i="3"/>
  <c r="F12" i="3" s="1"/>
  <c r="C12" i="3"/>
  <c r="B12" i="3"/>
  <c r="A13" i="3"/>
  <c r="E11" i="3"/>
  <c r="U37" i="3" l="1"/>
  <c r="T38" i="3"/>
  <c r="G11" i="3"/>
  <c r="D13" i="3"/>
  <c r="F13" i="3" s="1"/>
  <c r="C13" i="3"/>
  <c r="B13" i="3"/>
  <c r="E13" i="3" s="1"/>
  <c r="A14" i="3"/>
  <c r="E12" i="3"/>
  <c r="U38" i="3" l="1"/>
  <c r="T39" i="3"/>
  <c r="G12" i="3"/>
  <c r="A15" i="3"/>
  <c r="D14" i="3"/>
  <c r="F14" i="3" s="1"/>
  <c r="C14" i="3"/>
  <c r="B14" i="3"/>
  <c r="U39" i="3" l="1"/>
  <c r="T40" i="3"/>
  <c r="G13" i="3"/>
  <c r="D15" i="3"/>
  <c r="F15" i="3" s="1"/>
  <c r="C15" i="3"/>
  <c r="B15" i="3"/>
  <c r="E15" i="3" s="1"/>
  <c r="A16" i="3"/>
  <c r="E14" i="3"/>
  <c r="U40" i="3" l="1"/>
  <c r="T41" i="3"/>
  <c r="G14" i="3"/>
  <c r="A17" i="3"/>
  <c r="D16" i="3"/>
  <c r="F16" i="3" s="1"/>
  <c r="C16" i="3"/>
  <c r="B16" i="3"/>
  <c r="U41" i="3" l="1"/>
  <c r="T42" i="3"/>
  <c r="G15" i="3"/>
  <c r="D17" i="3"/>
  <c r="F17" i="3" s="1"/>
  <c r="C17" i="3"/>
  <c r="B17" i="3"/>
  <c r="E17" i="3"/>
  <c r="A18" i="3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E16" i="3"/>
  <c r="U42" i="3" l="1"/>
  <c r="T43" i="3"/>
  <c r="G16" i="3"/>
  <c r="D18" i="3"/>
  <c r="F18" i="3" s="1"/>
  <c r="C18" i="3"/>
  <c r="B18" i="3"/>
  <c r="U43" i="3" l="1"/>
  <c r="T44" i="3"/>
  <c r="G18" i="3"/>
  <c r="G17" i="3"/>
  <c r="A85" i="1"/>
  <c r="A86" i="1" s="1"/>
  <c r="A87" i="1" s="1"/>
  <c r="B4" i="1"/>
  <c r="HB25" i="3" l="1"/>
  <c r="GW5" i="3" s="1"/>
  <c r="EJ25" i="3"/>
  <c r="EE5" i="3" s="1"/>
  <c r="GN25" i="3"/>
  <c r="GI5" i="3" s="1"/>
  <c r="DV25" i="3"/>
  <c r="DQ5" i="3" s="1"/>
  <c r="FL25" i="3"/>
  <c r="FG5" i="3" s="1"/>
  <c r="EX25" i="3"/>
  <c r="ES5" i="3" s="1"/>
  <c r="FZ25" i="3"/>
  <c r="FU5" i="3" s="1"/>
  <c r="DH25" i="3"/>
  <c r="DC5" i="3" s="1"/>
  <c r="CT25" i="3"/>
  <c r="CO5" i="3" s="1"/>
  <c r="CF25" i="3"/>
  <c r="CA5" i="3" s="1"/>
  <c r="R20" i="1"/>
  <c r="R19" i="1"/>
  <c r="AU25" i="3"/>
  <c r="AP5" i="3" s="1"/>
  <c r="AQ5" i="3" s="1"/>
  <c r="U44" i="3"/>
  <c r="T45" i="3"/>
  <c r="AQ9" i="3"/>
  <c r="AQ11" i="3" s="1"/>
  <c r="BQ25" i="3"/>
  <c r="BL5" i="3" s="1"/>
  <c r="H5" i="3"/>
  <c r="H13" i="3" s="1"/>
  <c r="H18" i="3"/>
  <c r="H17" i="3"/>
  <c r="B88" i="1"/>
  <c r="B87" i="1"/>
  <c r="B86" i="1"/>
  <c r="B85" i="1"/>
  <c r="B84" i="1"/>
  <c r="A88" i="1"/>
  <c r="DC7" i="3" l="1"/>
  <c r="DD5" i="3"/>
  <c r="FU7" i="3"/>
  <c r="FV5" i="3"/>
  <c r="ES7" i="3"/>
  <c r="ET5" i="3"/>
  <c r="FG7" i="3"/>
  <c r="FH5" i="3"/>
  <c r="DQ7" i="3"/>
  <c r="DR5" i="3"/>
  <c r="GI7" i="3"/>
  <c r="GJ5" i="3"/>
  <c r="EE7" i="3"/>
  <c r="EF5" i="3"/>
  <c r="GW7" i="3"/>
  <c r="GX5" i="3"/>
  <c r="K3" i="3"/>
  <c r="K4" i="3" s="1"/>
  <c r="W25" i="3"/>
  <c r="R5" i="3" s="1"/>
  <c r="R7" i="3" s="1"/>
  <c r="CA7" i="3"/>
  <c r="CB5" i="3"/>
  <c r="CO7" i="3"/>
  <c r="CP5" i="3"/>
  <c r="U45" i="3"/>
  <c r="T46" i="3"/>
  <c r="BL7" i="3"/>
  <c r="BM5" i="3"/>
  <c r="AP7" i="3"/>
  <c r="H16" i="3"/>
  <c r="H11" i="3"/>
  <c r="H12" i="3"/>
  <c r="H10" i="3"/>
  <c r="H9" i="3" s="1"/>
  <c r="H8" i="3" s="1"/>
  <c r="H7" i="3" s="1"/>
  <c r="H6" i="3" s="1"/>
  <c r="I6" i="3" s="1"/>
  <c r="I7" i="3" s="1"/>
  <c r="H15" i="3"/>
  <c r="H14" i="3"/>
  <c r="A89" i="1"/>
  <c r="B89" i="1" s="1"/>
  <c r="S5" i="3" l="1"/>
  <c r="R8" i="3" s="1"/>
  <c r="S8" i="3" s="1"/>
  <c r="U8" i="3" s="1"/>
  <c r="K5" i="3"/>
  <c r="U46" i="3"/>
  <c r="T47" i="3"/>
  <c r="AS11" i="3"/>
  <c r="AO11" i="3"/>
  <c r="A90" i="1"/>
  <c r="B90" i="1" s="1"/>
  <c r="X11" i="3" l="1"/>
  <c r="O11" i="3" s="1"/>
  <c r="FH8" i="3"/>
  <c r="FJ8" i="3" s="1"/>
  <c r="DV11" i="3"/>
  <c r="DQ8" i="3"/>
  <c r="GJ8" i="3"/>
  <c r="GL8" i="3" s="1"/>
  <c r="FG8" i="3"/>
  <c r="EY11" i="3"/>
  <c r="EP11" i="3" s="1"/>
  <c r="DI11" i="3"/>
  <c r="CZ11" i="3" s="1"/>
  <c r="EJ11" i="3"/>
  <c r="FM11" i="3"/>
  <c r="FD11" i="3" s="1"/>
  <c r="GI8" i="3"/>
  <c r="GA11" i="3"/>
  <c r="FR11" i="3" s="1"/>
  <c r="EX11" i="3"/>
  <c r="DR8" i="3"/>
  <c r="DT8" i="3" s="1"/>
  <c r="HC11" i="3"/>
  <c r="GT11" i="3" s="1"/>
  <c r="FZ11" i="3"/>
  <c r="EK11" i="3"/>
  <c r="EB11" i="3" s="1"/>
  <c r="DH11" i="3"/>
  <c r="HB11" i="3"/>
  <c r="ET8" i="3"/>
  <c r="EV8" i="3" s="1"/>
  <c r="FV8" i="3"/>
  <c r="FX8" i="3" s="1"/>
  <c r="ES8" i="3"/>
  <c r="DD8" i="3"/>
  <c r="DF8" i="3" s="1"/>
  <c r="GX8" i="3"/>
  <c r="GZ8" i="3" s="1"/>
  <c r="GO11" i="3"/>
  <c r="GF11" i="3" s="1"/>
  <c r="FU8" i="3"/>
  <c r="FL11" i="3"/>
  <c r="EF8" i="3"/>
  <c r="EH8" i="3" s="1"/>
  <c r="DC8" i="3"/>
  <c r="GW8" i="3"/>
  <c r="GN11" i="3"/>
  <c r="EE8" i="3"/>
  <c r="DW11" i="3"/>
  <c r="DN11" i="3" s="1"/>
  <c r="BM8" i="3"/>
  <c r="BO8" i="3" s="1"/>
  <c r="AQ8" i="3"/>
  <c r="AS8" i="3" s="1"/>
  <c r="CO8" i="3"/>
  <c r="AV11" i="3"/>
  <c r="AM11" i="3" s="1"/>
  <c r="AU11" i="3"/>
  <c r="AS12" i="3" s="1"/>
  <c r="CU11" i="3"/>
  <c r="CG11" i="3"/>
  <c r="BX11" i="3" s="1"/>
  <c r="BL8" i="3"/>
  <c r="W11" i="3"/>
  <c r="X12" i="3" s="1"/>
  <c r="O12" i="3" s="1"/>
  <c r="CT11" i="3"/>
  <c r="CF11" i="3"/>
  <c r="AP8" i="3"/>
  <c r="BR11" i="3"/>
  <c r="BI11" i="3" s="1"/>
  <c r="CB8" i="3"/>
  <c r="CD8" i="3" s="1"/>
  <c r="BQ11" i="3"/>
  <c r="BP12" i="3" s="1"/>
  <c r="CP8" i="3"/>
  <c r="CR8" i="3" s="1"/>
  <c r="CA8" i="3"/>
  <c r="U47" i="3"/>
  <c r="T48" i="3"/>
  <c r="A91" i="1"/>
  <c r="B91" i="1" s="1"/>
  <c r="GO12" i="3" l="1"/>
  <c r="GN12" i="3"/>
  <c r="GM12" i="3"/>
  <c r="GP11" i="3"/>
  <c r="GA12" i="3"/>
  <c r="GB11" i="3"/>
  <c r="FZ12" i="3"/>
  <c r="FY12" i="3"/>
  <c r="EY12" i="3"/>
  <c r="EX12" i="3"/>
  <c r="EW12" i="3"/>
  <c r="EZ11" i="3"/>
  <c r="FM12" i="3"/>
  <c r="FL12" i="3"/>
  <c r="FN11" i="3"/>
  <c r="FK12" i="3"/>
  <c r="HC12" i="3"/>
  <c r="HA12" i="3"/>
  <c r="HB12" i="3"/>
  <c r="HD11" i="3"/>
  <c r="DW12" i="3"/>
  <c r="DX11" i="3"/>
  <c r="DU12" i="3"/>
  <c r="DV12" i="3"/>
  <c r="DI12" i="3"/>
  <c r="DH12" i="3"/>
  <c r="DG12" i="3"/>
  <c r="DJ11" i="3"/>
  <c r="EK12" i="3"/>
  <c r="EJ12" i="3"/>
  <c r="EI12" i="3"/>
  <c r="EL11" i="3"/>
  <c r="AL11" i="3"/>
  <c r="BS11" i="3"/>
  <c r="BQ12" i="3"/>
  <c r="AU12" i="3"/>
  <c r="AW11" i="3"/>
  <c r="AV12" i="3"/>
  <c r="AL12" i="3" s="1"/>
  <c r="CU12" i="3"/>
  <c r="CS12" i="3"/>
  <c r="CV11" i="3"/>
  <c r="CT12" i="3"/>
  <c r="BR12" i="3"/>
  <c r="CL11" i="3"/>
  <c r="W12" i="3"/>
  <c r="V12" i="3"/>
  <c r="M12" i="3" s="1"/>
  <c r="AT12" i="3"/>
  <c r="AZ3" i="3"/>
  <c r="AZ4" i="3" s="1"/>
  <c r="AZ5" i="3" s="1"/>
  <c r="AZ2" i="3"/>
  <c r="CG12" i="3"/>
  <c r="CH11" i="3"/>
  <c r="CF12" i="3"/>
  <c r="CE12" i="3"/>
  <c r="U48" i="3"/>
  <c r="T49" i="3"/>
  <c r="Y11" i="3"/>
  <c r="BG12" i="3"/>
  <c r="BQ13" i="3"/>
  <c r="BP13" i="3"/>
  <c r="BR13" i="3"/>
  <c r="BS12" i="3"/>
  <c r="A92" i="1"/>
  <c r="B92" i="1" s="1"/>
  <c r="AT13" i="3" l="1"/>
  <c r="FL13" i="3"/>
  <c r="FK13" i="3"/>
  <c r="FN12" i="3"/>
  <c r="FM13" i="3"/>
  <c r="FZ13" i="3"/>
  <c r="FY13" i="3"/>
  <c r="GB12" i="3"/>
  <c r="GA13" i="3"/>
  <c r="EJ13" i="3"/>
  <c r="EI13" i="3"/>
  <c r="EL12" i="3"/>
  <c r="EK13" i="3"/>
  <c r="DV13" i="3"/>
  <c r="DU13" i="3"/>
  <c r="DX12" i="3"/>
  <c r="DW13" i="3"/>
  <c r="DH13" i="3"/>
  <c r="DG13" i="3"/>
  <c r="DJ12" i="3"/>
  <c r="DI13" i="3"/>
  <c r="EX13" i="3"/>
  <c r="EW13" i="3"/>
  <c r="EZ12" i="3"/>
  <c r="EY13" i="3"/>
  <c r="GN13" i="3"/>
  <c r="GM13" i="3"/>
  <c r="GP12" i="3"/>
  <c r="GO13" i="3"/>
  <c r="HB13" i="3"/>
  <c r="HA13" i="3"/>
  <c r="HD12" i="3"/>
  <c r="HC13" i="3"/>
  <c r="AK12" i="3"/>
  <c r="AR12" i="3"/>
  <c r="AQ12" i="3" s="1"/>
  <c r="AO12" i="3" s="1"/>
  <c r="AM12" i="3" s="1"/>
  <c r="AS13" i="3"/>
  <c r="AV13" i="3"/>
  <c r="AU13" i="3"/>
  <c r="AW12" i="3"/>
  <c r="X13" i="3"/>
  <c r="O13" i="3" s="1"/>
  <c r="CH12" i="3"/>
  <c r="CG13" i="3"/>
  <c r="CF13" i="3"/>
  <c r="CE13" i="3"/>
  <c r="Y12" i="3"/>
  <c r="V13" i="3"/>
  <c r="W13" i="3"/>
  <c r="BA2" i="3"/>
  <c r="BA1" i="3"/>
  <c r="BA3" i="3"/>
  <c r="BA4" i="3" s="1"/>
  <c r="BA5" i="3" s="1"/>
  <c r="CT13" i="3"/>
  <c r="CS13" i="3"/>
  <c r="CV12" i="3"/>
  <c r="CU13" i="3"/>
  <c r="U49" i="3"/>
  <c r="T50" i="3"/>
  <c r="AK13" i="3"/>
  <c r="BS13" i="3"/>
  <c r="BP14" i="3"/>
  <c r="BR14" i="3"/>
  <c r="BQ14" i="3"/>
  <c r="BG13" i="3"/>
  <c r="A93" i="1"/>
  <c r="B93" i="1" s="1"/>
  <c r="AO28" i="3"/>
  <c r="GA14" i="3" l="1"/>
  <c r="FZ14" i="3"/>
  <c r="FY14" i="3"/>
  <c r="GB13" i="3"/>
  <c r="EY14" i="3"/>
  <c r="EZ13" i="3"/>
  <c r="EX14" i="3"/>
  <c r="EW14" i="3"/>
  <c r="DW14" i="3"/>
  <c r="DU14" i="3"/>
  <c r="DX13" i="3"/>
  <c r="DV14" i="3"/>
  <c r="GO14" i="3"/>
  <c r="GP13" i="3"/>
  <c r="GN14" i="3"/>
  <c r="GM14" i="3"/>
  <c r="DI14" i="3"/>
  <c r="DH14" i="3"/>
  <c r="DG14" i="3"/>
  <c r="DJ13" i="3"/>
  <c r="EK14" i="3"/>
  <c r="EJ14" i="3"/>
  <c r="EI14" i="3"/>
  <c r="EL13" i="3"/>
  <c r="FK14" i="3"/>
  <c r="FM14" i="3"/>
  <c r="FL14" i="3"/>
  <c r="FN13" i="3"/>
  <c r="AR13" i="3"/>
  <c r="AQ13" i="3" s="1"/>
  <c r="AO13" i="3" s="1"/>
  <c r="AM13" i="3" s="1"/>
  <c r="HC14" i="3"/>
  <c r="HB14" i="3"/>
  <c r="HA14" i="3"/>
  <c r="HD13" i="3"/>
  <c r="AS14" i="3"/>
  <c r="AV14" i="3"/>
  <c r="AW13" i="3"/>
  <c r="AU14" i="3"/>
  <c r="AT14" i="3"/>
  <c r="Y13" i="3"/>
  <c r="CU14" i="3"/>
  <c r="CT14" i="3"/>
  <c r="CS14" i="3"/>
  <c r="CV13" i="3"/>
  <c r="V14" i="3"/>
  <c r="CH13" i="3"/>
  <c r="CE14" i="3"/>
  <c r="CG14" i="3"/>
  <c r="CF14" i="3"/>
  <c r="M13" i="3"/>
  <c r="W14" i="3"/>
  <c r="BB1" i="3"/>
  <c r="BB3" i="3"/>
  <c r="BB4" i="3" s="1"/>
  <c r="BB5" i="3" s="1"/>
  <c r="X14" i="3"/>
  <c r="O14" i="3" s="1"/>
  <c r="BB2" i="3"/>
  <c r="U50" i="3"/>
  <c r="T51" i="3"/>
  <c r="BG14" i="3"/>
  <c r="BR15" i="3"/>
  <c r="BP15" i="3"/>
  <c r="BQ15" i="3"/>
  <c r="BS14" i="3"/>
  <c r="A94" i="1"/>
  <c r="B94" i="1" s="1"/>
  <c r="AR14" i="3" l="1"/>
  <c r="AQ14" i="3" s="1"/>
  <c r="AO14" i="3" s="1"/>
  <c r="EK15" i="3"/>
  <c r="EJ15" i="3"/>
  <c r="EI15" i="3"/>
  <c r="EL14" i="3"/>
  <c r="AV15" i="3"/>
  <c r="DW15" i="3"/>
  <c r="DV15" i="3"/>
  <c r="DU15" i="3"/>
  <c r="DX14" i="3"/>
  <c r="DI15" i="3"/>
  <c r="DH15" i="3"/>
  <c r="DG15" i="3"/>
  <c r="DJ14" i="3"/>
  <c r="GA15" i="3"/>
  <c r="FZ15" i="3"/>
  <c r="FY15" i="3"/>
  <c r="GB14" i="3"/>
  <c r="AT15" i="3"/>
  <c r="AL13" i="3"/>
  <c r="AL14" i="3" s="1"/>
  <c r="FM15" i="3"/>
  <c r="FL15" i="3"/>
  <c r="FK15" i="3"/>
  <c r="FN14" i="3"/>
  <c r="HC15" i="3"/>
  <c r="HD14" i="3"/>
  <c r="HB15" i="3"/>
  <c r="HA15" i="3"/>
  <c r="GO15" i="3"/>
  <c r="GP14" i="3"/>
  <c r="GN15" i="3"/>
  <c r="GM15" i="3"/>
  <c r="EY15" i="3"/>
  <c r="EX15" i="3"/>
  <c r="EW15" i="3"/>
  <c r="EZ14" i="3"/>
  <c r="AS15" i="3"/>
  <c r="AW14" i="3"/>
  <c r="AK14" i="3"/>
  <c r="BC2" i="3"/>
  <c r="AU15" i="3"/>
  <c r="X15" i="3"/>
  <c r="O15" i="3" s="1"/>
  <c r="CG15" i="3"/>
  <c r="CF15" i="3"/>
  <c r="CE15" i="3"/>
  <c r="CH14" i="3"/>
  <c r="W15" i="3"/>
  <c r="BC1" i="3"/>
  <c r="BC3" i="3"/>
  <c r="BC4" i="3" s="1"/>
  <c r="BC5" i="3" s="1"/>
  <c r="V15" i="3"/>
  <c r="M15" i="3" s="1"/>
  <c r="M14" i="3"/>
  <c r="CU15" i="3"/>
  <c r="CT15" i="3"/>
  <c r="CS15" i="3"/>
  <c r="CV14" i="3"/>
  <c r="AM14" i="3"/>
  <c r="U51" i="3"/>
  <c r="T52" i="3"/>
  <c r="AK15" i="3"/>
  <c r="Y14" i="3"/>
  <c r="BP16" i="3"/>
  <c r="BS15" i="3" s="1"/>
  <c r="BR16" i="3"/>
  <c r="BQ16" i="3"/>
  <c r="BG15" i="3"/>
  <c r="A95" i="1"/>
  <c r="B95" i="1" s="1"/>
  <c r="DG16" i="3" l="1"/>
  <c r="DJ15" i="3"/>
  <c r="DH16" i="3"/>
  <c r="DI16" i="3"/>
  <c r="EW16" i="3"/>
  <c r="EZ15" i="3"/>
  <c r="EY16" i="3"/>
  <c r="EX16" i="3"/>
  <c r="AV16" i="3"/>
  <c r="FY16" i="3"/>
  <c r="GB15" i="3"/>
  <c r="GA16" i="3"/>
  <c r="FZ16" i="3"/>
  <c r="DU16" i="3"/>
  <c r="DX15" i="3"/>
  <c r="DW16" i="3"/>
  <c r="DV16" i="3"/>
  <c r="HA16" i="3"/>
  <c r="HD15" i="3"/>
  <c r="HC16" i="3"/>
  <c r="HB16" i="3"/>
  <c r="EI16" i="3"/>
  <c r="EL15" i="3"/>
  <c r="EK16" i="3"/>
  <c r="EJ16" i="3"/>
  <c r="GM16" i="3"/>
  <c r="GP15" i="3"/>
  <c r="GO16" i="3"/>
  <c r="GN16" i="3"/>
  <c r="FK16" i="3"/>
  <c r="FN15" i="3"/>
  <c r="FL16" i="3"/>
  <c r="FM16" i="3"/>
  <c r="AU16" i="3"/>
  <c r="AT16" i="3"/>
  <c r="AW15" i="3" s="1"/>
  <c r="AR15" i="3"/>
  <c r="AQ15" i="3" s="1"/>
  <c r="AO15" i="3" s="1"/>
  <c r="AM15" i="3" s="1"/>
  <c r="AS16" i="3"/>
  <c r="W16" i="3"/>
  <c r="X16" i="3"/>
  <c r="O16" i="3" s="1"/>
  <c r="BD3" i="3"/>
  <c r="BD4" i="3" s="1"/>
  <c r="BD5" i="3" s="1"/>
  <c r="BD1" i="3"/>
  <c r="V16" i="3"/>
  <c r="M16" i="3" s="1"/>
  <c r="CS16" i="3"/>
  <c r="CV15" i="3"/>
  <c r="CU16" i="3"/>
  <c r="CT16" i="3"/>
  <c r="CE16" i="3"/>
  <c r="CH15" i="3"/>
  <c r="CG16" i="3"/>
  <c r="CF16" i="3"/>
  <c r="BD2" i="3"/>
  <c r="U52" i="3"/>
  <c r="T53" i="3"/>
  <c r="Y15" i="3"/>
  <c r="AK16" i="3"/>
  <c r="BG16" i="3"/>
  <c r="BR17" i="3"/>
  <c r="BQ17" i="3"/>
  <c r="BP17" i="3"/>
  <c r="BS16" i="3" s="1"/>
  <c r="A96" i="1"/>
  <c r="B96" i="1" s="1"/>
  <c r="AU17" i="3" l="1"/>
  <c r="HC17" i="3"/>
  <c r="HB17" i="3"/>
  <c r="HA17" i="3"/>
  <c r="HD16" i="3"/>
  <c r="AV17" i="3"/>
  <c r="GO17" i="3"/>
  <c r="GN17" i="3"/>
  <c r="GM17" i="3"/>
  <c r="AS17" i="3"/>
  <c r="DI17" i="3"/>
  <c r="DH17" i="3"/>
  <c r="DG17" i="3"/>
  <c r="DJ16" i="3" s="1"/>
  <c r="V17" i="3"/>
  <c r="Y16" i="3" s="1"/>
  <c r="FM17" i="3"/>
  <c r="FL17" i="3"/>
  <c r="FK17" i="3"/>
  <c r="FN16" i="3"/>
  <c r="EK17" i="3"/>
  <c r="EJ17" i="3"/>
  <c r="EI17" i="3"/>
  <c r="DX16" i="3"/>
  <c r="DW17" i="3"/>
  <c r="DV17" i="3"/>
  <c r="DU17" i="3"/>
  <c r="FZ17" i="3"/>
  <c r="FY17" i="3"/>
  <c r="GB16" i="3"/>
  <c r="GA17" i="3"/>
  <c r="AT17" i="3"/>
  <c r="AW16" i="3" s="1"/>
  <c r="AL15" i="3"/>
  <c r="EW17" i="3"/>
  <c r="EY17" i="3"/>
  <c r="EX17" i="3"/>
  <c r="AR16" i="3"/>
  <c r="AQ16" i="3" s="1"/>
  <c r="AO16" i="3" s="1"/>
  <c r="AM16" i="3" s="1"/>
  <c r="X17" i="3"/>
  <c r="O17" i="3" s="1"/>
  <c r="CU17" i="3"/>
  <c r="CS17" i="3"/>
  <c r="CV16" i="3" s="1"/>
  <c r="CT17" i="3"/>
  <c r="BE2" i="3"/>
  <c r="BE1" i="3"/>
  <c r="BE3" i="3"/>
  <c r="BE4" i="3" s="1"/>
  <c r="BE5" i="3" s="1"/>
  <c r="W17" i="3"/>
  <c r="CF17" i="3"/>
  <c r="CE17" i="3"/>
  <c r="CH16" i="3" s="1"/>
  <c r="CG17" i="3"/>
  <c r="U53" i="3"/>
  <c r="T54" i="3"/>
  <c r="BP18" i="3"/>
  <c r="BS17" i="3" s="1"/>
  <c r="BQ18" i="3"/>
  <c r="BG17" i="3"/>
  <c r="BR18" i="3"/>
  <c r="A97" i="1"/>
  <c r="B97" i="1" s="1"/>
  <c r="X18" i="3" l="1"/>
  <c r="O18" i="3" s="1"/>
  <c r="AV18" i="3"/>
  <c r="M17" i="3"/>
  <c r="AS18" i="3"/>
  <c r="EI18" i="3"/>
  <c r="EL17" i="3" s="1"/>
  <c r="EJ18" i="3"/>
  <c r="EK18" i="3"/>
  <c r="GO18" i="3"/>
  <c r="GM18" i="3"/>
  <c r="GP17" i="3" s="1"/>
  <c r="GN18" i="3"/>
  <c r="AT18" i="3"/>
  <c r="AW17" i="3" s="1"/>
  <c r="EL16" i="3"/>
  <c r="FZ18" i="3"/>
  <c r="GA18" i="3"/>
  <c r="FY18" i="3"/>
  <c r="EW18" i="3"/>
  <c r="EZ17" i="3" s="1"/>
  <c r="EY18" i="3"/>
  <c r="EX18" i="3"/>
  <c r="DV18" i="3"/>
  <c r="DU18" i="3"/>
  <c r="DX17" i="3"/>
  <c r="DW18" i="3"/>
  <c r="HC18" i="3"/>
  <c r="HA18" i="3"/>
  <c r="HB18" i="3"/>
  <c r="AK17" i="3"/>
  <c r="EZ16" i="3"/>
  <c r="FM18" i="3"/>
  <c r="FL18" i="3"/>
  <c r="FK18" i="3"/>
  <c r="FN17" i="3" s="1"/>
  <c r="DH18" i="3"/>
  <c r="DG18" i="3"/>
  <c r="DI18" i="3"/>
  <c r="AU18" i="3"/>
  <c r="GP16" i="3"/>
  <c r="AR17" i="3"/>
  <c r="AQ17" i="3" s="1"/>
  <c r="AO17" i="3" s="1"/>
  <c r="AM17" i="3" s="1"/>
  <c r="AL16" i="3"/>
  <c r="V18" i="3"/>
  <c r="Y17" i="3" s="1"/>
  <c r="W18" i="3"/>
  <c r="BF2" i="3"/>
  <c r="BF3" i="3"/>
  <c r="BF4" i="3" s="1"/>
  <c r="BF5" i="3" s="1"/>
  <c r="BH5" i="3" s="1"/>
  <c r="BF1" i="3"/>
  <c r="BI1" i="3" s="1"/>
  <c r="CG18" i="3"/>
  <c r="CF18" i="3"/>
  <c r="CE18" i="3"/>
  <c r="CH17" i="3" s="1"/>
  <c r="CS18" i="3"/>
  <c r="CV17" i="3" s="1"/>
  <c r="CU18" i="3"/>
  <c r="CT18" i="3"/>
  <c r="U54" i="3"/>
  <c r="T55" i="3"/>
  <c r="AK18" i="3"/>
  <c r="BG18" i="3"/>
  <c r="BR19" i="3"/>
  <c r="BQ19" i="3"/>
  <c r="BP19" i="3"/>
  <c r="A98" i="1"/>
  <c r="B98" i="1" s="1"/>
  <c r="AV19" i="3" l="1"/>
  <c r="AS19" i="3"/>
  <c r="FK19" i="3"/>
  <c r="FM19" i="3"/>
  <c r="FL19" i="3"/>
  <c r="FN18" i="3"/>
  <c r="HC19" i="3"/>
  <c r="HB19" i="3"/>
  <c r="HA19" i="3"/>
  <c r="HD18" i="3"/>
  <c r="EW19" i="3"/>
  <c r="EZ18" i="3"/>
  <c r="EX19" i="3"/>
  <c r="EY19" i="3"/>
  <c r="GO19" i="3"/>
  <c r="GM19" i="3"/>
  <c r="GP19" i="3" s="1"/>
  <c r="GN19" i="3"/>
  <c r="AR18" i="3"/>
  <c r="AQ18" i="3" s="1"/>
  <c r="FY19" i="3"/>
  <c r="GA19" i="3"/>
  <c r="GB18" i="3"/>
  <c r="FZ19" i="3"/>
  <c r="DW19" i="3"/>
  <c r="DV19" i="3"/>
  <c r="DU19" i="3"/>
  <c r="DX18" i="3" s="1"/>
  <c r="GB17" i="3"/>
  <c r="DJ17" i="3"/>
  <c r="DI19" i="3"/>
  <c r="DH19" i="3"/>
  <c r="DG19" i="3"/>
  <c r="DJ18" i="3" s="1"/>
  <c r="HD17" i="3"/>
  <c r="AL17" i="3"/>
  <c r="AT19" i="3"/>
  <c r="AW18" i="3" s="1"/>
  <c r="AU19" i="3"/>
  <c r="X19" i="3"/>
  <c r="O19" i="3" s="1"/>
  <c r="EK19" i="3"/>
  <c r="EI19" i="3"/>
  <c r="EJ19" i="3"/>
  <c r="W19" i="3"/>
  <c r="M18" i="3"/>
  <c r="V19" i="3"/>
  <c r="Y18" i="3" s="1"/>
  <c r="CE19" i="3"/>
  <c r="CH18" i="3"/>
  <c r="CG19" i="3"/>
  <c r="CF19" i="3"/>
  <c r="BI2" i="3"/>
  <c r="CS19" i="3"/>
  <c r="CU19" i="3"/>
  <c r="CT19" i="3"/>
  <c r="U55" i="3"/>
  <c r="T56" i="3"/>
  <c r="BS19" i="3"/>
  <c r="BG19" i="3"/>
  <c r="AO18" i="3"/>
  <c r="AM18" i="3" s="1"/>
  <c r="AW19" i="3"/>
  <c r="AW9" i="3" s="1"/>
  <c r="AW10" i="3" s="1"/>
  <c r="AY9" i="3" s="1"/>
  <c r="BS18" i="3"/>
  <c r="A99" i="1"/>
  <c r="B99" i="1" s="1"/>
  <c r="AL18" i="3" l="1"/>
  <c r="AL19" i="3" s="1"/>
  <c r="AL20" i="3" s="1"/>
  <c r="AL23" i="3" s="1"/>
  <c r="AR19" i="3"/>
  <c r="AQ19" i="3" s="1"/>
  <c r="AO19" i="3" s="1"/>
  <c r="AM19" i="3" s="1"/>
  <c r="AM23" i="3" s="1"/>
  <c r="AM24" i="3" s="1"/>
  <c r="AM25" i="3" s="1"/>
  <c r="EL19" i="3"/>
  <c r="AK19" i="3"/>
  <c r="EL18" i="3"/>
  <c r="EL9" i="3" s="1"/>
  <c r="EL10" i="3" s="1"/>
  <c r="EN9" i="3" s="1"/>
  <c r="GP18" i="3"/>
  <c r="GP9" i="3" s="1"/>
  <c r="GP10" i="3" s="1"/>
  <c r="GR9" i="3" s="1"/>
  <c r="DJ19" i="3"/>
  <c r="DJ9" i="3" s="1"/>
  <c r="DJ10" i="3" s="1"/>
  <c r="DL9" i="3" s="1"/>
  <c r="HD19" i="3"/>
  <c r="HD9" i="3" s="1"/>
  <c r="HD10" i="3" s="1"/>
  <c r="HF9" i="3" s="1"/>
  <c r="GB19" i="3"/>
  <c r="GB9" i="3" s="1"/>
  <c r="GB10" i="3" s="1"/>
  <c r="GD9" i="3" s="1"/>
  <c r="DX19" i="3"/>
  <c r="DX9" i="3" s="1"/>
  <c r="DX10" i="3" s="1"/>
  <c r="DZ9" i="3" s="1"/>
  <c r="EZ19" i="3"/>
  <c r="EZ9" i="3" s="1"/>
  <c r="EZ10" i="3" s="1"/>
  <c r="FB9" i="3" s="1"/>
  <c r="FN19" i="3"/>
  <c r="FN9" i="3" s="1"/>
  <c r="FN10" i="3" s="1"/>
  <c r="FP9" i="3" s="1"/>
  <c r="M19" i="3"/>
  <c r="Y19" i="3"/>
  <c r="Y9" i="3" s="1"/>
  <c r="Y10" i="3" s="1"/>
  <c r="AA9" i="3" s="1"/>
  <c r="CV19" i="3"/>
  <c r="CV18" i="3"/>
  <c r="CV9" i="3" s="1"/>
  <c r="CV10" i="3" s="1"/>
  <c r="CX9" i="3" s="1"/>
  <c r="CH19" i="3"/>
  <c r="CH9" i="3" s="1"/>
  <c r="CH10" i="3" s="1"/>
  <c r="CJ9" i="3" s="1"/>
  <c r="U56" i="3"/>
  <c r="T57" i="3"/>
  <c r="BS9" i="3"/>
  <c r="BS10" i="3" s="1"/>
  <c r="BU9" i="3" s="1"/>
  <c r="AO23" i="3"/>
  <c r="A100" i="1"/>
  <c r="B100" i="1" s="1"/>
  <c r="AY23" i="3" l="1"/>
  <c r="U57" i="3"/>
  <c r="T58" i="3"/>
  <c r="A101" i="1"/>
  <c r="B101" i="1" s="1"/>
  <c r="U58" i="3" l="1"/>
  <c r="T59" i="3"/>
  <c r="A102" i="1"/>
  <c r="B102" i="1" s="1"/>
  <c r="U59" i="3" l="1"/>
  <c r="T60" i="3"/>
  <c r="A103" i="1"/>
  <c r="B103" i="1" s="1"/>
  <c r="U60" i="3" l="1"/>
  <c r="T61" i="3"/>
  <c r="A104" i="1"/>
  <c r="B104" i="1" s="1"/>
  <c r="U61" i="3" l="1"/>
  <c r="T62" i="3"/>
  <c r="A105" i="1"/>
  <c r="B105" i="1" s="1"/>
  <c r="U62" i="3" l="1"/>
  <c r="T63" i="3"/>
  <c r="A106" i="1"/>
  <c r="B106" i="1" s="1"/>
  <c r="U63" i="3" l="1"/>
  <c r="T64" i="3"/>
  <c r="A107" i="1"/>
  <c r="B107" i="1" s="1"/>
  <c r="U64" i="3" l="1"/>
  <c r="T65" i="3"/>
  <c r="A108" i="1"/>
  <c r="B108" i="1" s="1"/>
  <c r="U65" i="3" l="1"/>
  <c r="T66" i="3"/>
  <c r="A109" i="1"/>
  <c r="B109" i="1" s="1"/>
  <c r="U66" i="3" l="1"/>
  <c r="T67" i="3"/>
  <c r="A110" i="1"/>
  <c r="B110" i="1" s="1"/>
  <c r="U67" i="3" l="1"/>
  <c r="T68" i="3"/>
  <c r="A111" i="1"/>
  <c r="B111" i="1" s="1"/>
  <c r="U68" i="3" l="1"/>
  <c r="T69" i="3"/>
  <c r="A112" i="1"/>
  <c r="B112" i="1" s="1"/>
  <c r="U69" i="3" l="1"/>
  <c r="T70" i="3"/>
  <c r="A113" i="1"/>
  <c r="B113" i="1" s="1"/>
  <c r="U70" i="3" l="1"/>
  <c r="T71" i="3"/>
  <c r="A114" i="1"/>
  <c r="B114" i="1" s="1"/>
  <c r="U71" i="3" l="1"/>
  <c r="T72" i="3"/>
  <c r="A115" i="1"/>
  <c r="B115" i="1" s="1"/>
  <c r="U72" i="3" l="1"/>
  <c r="T73" i="3"/>
  <c r="A116" i="1"/>
  <c r="B116" i="1" s="1"/>
  <c r="U73" i="3" l="1"/>
  <c r="T74" i="3"/>
  <c r="A117" i="1"/>
  <c r="B117" i="1" s="1"/>
  <c r="U74" i="3" l="1"/>
  <c r="T75" i="3"/>
  <c r="A118" i="1"/>
  <c r="B118" i="1" s="1"/>
  <c r="U75" i="3" l="1"/>
  <c r="T76" i="3"/>
  <c r="A119" i="1"/>
  <c r="B119" i="1" s="1"/>
  <c r="U76" i="3" l="1"/>
  <c r="T77" i="3"/>
  <c r="A120" i="1"/>
  <c r="B120" i="1" s="1"/>
  <c r="U77" i="3" l="1"/>
  <c r="T78" i="3"/>
  <c r="A121" i="1"/>
  <c r="B121" i="1" s="1"/>
  <c r="U78" i="3" l="1"/>
  <c r="T79" i="3"/>
  <c r="A122" i="1"/>
  <c r="B122" i="1" s="1"/>
  <c r="U79" i="3" l="1"/>
  <c r="T80" i="3"/>
  <c r="A123" i="1"/>
  <c r="B123" i="1" s="1"/>
  <c r="U80" i="3" l="1"/>
  <c r="T81" i="3"/>
  <c r="A124" i="1"/>
  <c r="B124" i="1" s="1"/>
  <c r="U81" i="3" l="1"/>
  <c r="T82" i="3"/>
  <c r="A125" i="1"/>
  <c r="B125" i="1" s="1"/>
  <c r="U82" i="3" l="1"/>
  <c r="T83" i="3"/>
  <c r="A126" i="1"/>
  <c r="B126" i="1" s="1"/>
  <c r="U83" i="3" l="1"/>
  <c r="T84" i="3"/>
  <c r="A127" i="1"/>
  <c r="B127" i="1" s="1"/>
  <c r="U84" i="3" l="1"/>
  <c r="T85" i="3"/>
  <c r="A128" i="1"/>
  <c r="B128" i="1" s="1"/>
  <c r="T86" i="3" l="1"/>
  <c r="U85" i="3"/>
  <c r="A129" i="1"/>
  <c r="B129" i="1" s="1"/>
  <c r="U86" i="3" l="1"/>
  <c r="T87" i="3"/>
  <c r="A130" i="1"/>
  <c r="B130" i="1" s="1"/>
  <c r="T88" i="3" l="1"/>
  <c r="U87" i="3"/>
  <c r="A131" i="1"/>
  <c r="B131" i="1" s="1"/>
  <c r="U88" i="3" l="1"/>
  <c r="T89" i="3"/>
  <c r="A132" i="1"/>
  <c r="B132" i="1" s="1"/>
  <c r="T90" i="3" l="1"/>
  <c r="U89" i="3"/>
  <c r="A133" i="1"/>
  <c r="B133" i="1" s="1"/>
  <c r="T91" i="3" l="1"/>
  <c r="U90" i="3"/>
  <c r="A134" i="1"/>
  <c r="B134" i="1" s="1"/>
  <c r="U91" i="3" l="1"/>
  <c r="T92" i="3"/>
  <c r="A135" i="1"/>
  <c r="B135" i="1" s="1"/>
  <c r="T93" i="3" l="1"/>
  <c r="U92" i="3"/>
  <c r="A136" i="1"/>
  <c r="B136" i="1" s="1"/>
  <c r="U93" i="3" l="1"/>
  <c r="T94" i="3"/>
  <c r="A137" i="1"/>
  <c r="B137" i="1" s="1"/>
  <c r="U94" i="3" l="1"/>
  <c r="T95" i="3"/>
  <c r="A138" i="1"/>
  <c r="B138" i="1" s="1"/>
  <c r="T96" i="3" l="1"/>
  <c r="U95" i="3"/>
  <c r="A139" i="1"/>
  <c r="B139" i="1" s="1"/>
  <c r="U96" i="3" l="1"/>
  <c r="T97" i="3"/>
  <c r="A140" i="1"/>
  <c r="B140" i="1" s="1"/>
  <c r="T98" i="3" l="1"/>
  <c r="U97" i="3"/>
  <c r="A141" i="1"/>
  <c r="B141" i="1" s="1"/>
  <c r="T99" i="3" l="1"/>
  <c r="U98" i="3"/>
  <c r="A142" i="1"/>
  <c r="B142" i="1" s="1"/>
  <c r="U99" i="3" l="1"/>
  <c r="T100" i="3"/>
  <c r="A143" i="1"/>
  <c r="B143" i="1" s="1"/>
  <c r="U100" i="3" l="1"/>
  <c r="T101" i="3"/>
  <c r="A144" i="1"/>
  <c r="B144" i="1" s="1"/>
  <c r="U101" i="3" l="1"/>
  <c r="T102" i="3"/>
  <c r="A145" i="1"/>
  <c r="B145" i="1" s="1"/>
  <c r="U102" i="3" l="1"/>
  <c r="T103" i="3"/>
  <c r="A146" i="1"/>
  <c r="B146" i="1" s="1"/>
  <c r="T104" i="3" l="1"/>
  <c r="U103" i="3"/>
  <c r="A147" i="1"/>
  <c r="B147" i="1" s="1"/>
  <c r="U104" i="3" l="1"/>
  <c r="T105" i="3"/>
  <c r="A148" i="1"/>
  <c r="B148" i="1" s="1"/>
  <c r="T106" i="3" l="1"/>
  <c r="U105" i="3"/>
  <c r="A149" i="1"/>
  <c r="B149" i="1" s="1"/>
  <c r="T107" i="3" l="1"/>
  <c r="U106" i="3"/>
  <c r="A150" i="1"/>
  <c r="B150" i="1" s="1"/>
  <c r="U107" i="3" l="1"/>
  <c r="T108" i="3"/>
  <c r="A151" i="1"/>
  <c r="B151" i="1" s="1"/>
  <c r="T109" i="3" l="1"/>
  <c r="U108" i="3"/>
  <c r="A152" i="1"/>
  <c r="B152" i="1" s="1"/>
  <c r="U109" i="3" l="1"/>
  <c r="T110" i="3"/>
  <c r="A153" i="1"/>
  <c r="B153" i="1" s="1"/>
  <c r="T111" i="3" l="1"/>
  <c r="U110" i="3"/>
  <c r="A154" i="1"/>
  <c r="B154" i="1" s="1"/>
  <c r="T112" i="3" l="1"/>
  <c r="U111" i="3"/>
  <c r="A155" i="1"/>
  <c r="B155" i="1" s="1"/>
  <c r="U112" i="3" l="1"/>
  <c r="T113" i="3"/>
  <c r="A156" i="1"/>
  <c r="B156" i="1" s="1"/>
  <c r="T114" i="3" l="1"/>
  <c r="U113" i="3"/>
  <c r="A157" i="1"/>
  <c r="B157" i="1" s="1"/>
  <c r="U114" i="3" l="1"/>
  <c r="T115" i="3"/>
  <c r="A158" i="1"/>
  <c r="B158" i="1" s="1"/>
  <c r="U115" i="3" l="1"/>
  <c r="T116" i="3"/>
  <c r="A159" i="1"/>
  <c r="B159" i="1" s="1"/>
  <c r="T117" i="3" l="1"/>
  <c r="U116" i="3"/>
  <c r="A160" i="1"/>
  <c r="B160" i="1" s="1"/>
  <c r="U117" i="3" l="1"/>
  <c r="T118" i="3"/>
  <c r="A161" i="1"/>
  <c r="T119" i="3" l="1"/>
  <c r="U118" i="3"/>
  <c r="A162" i="1"/>
  <c r="B161" i="1"/>
  <c r="T120" i="3" l="1"/>
  <c r="U119" i="3"/>
  <c r="A163" i="1"/>
  <c r="B162" i="1"/>
  <c r="U120" i="3" l="1"/>
  <c r="T121" i="3"/>
  <c r="A164" i="1"/>
  <c r="B163" i="1"/>
  <c r="T122" i="3" l="1"/>
  <c r="U121" i="3"/>
  <c r="A165" i="1"/>
  <c r="B164" i="1"/>
  <c r="T123" i="3" l="1"/>
  <c r="U122" i="3"/>
  <c r="B165" i="1"/>
  <c r="A166" i="1"/>
  <c r="U123" i="3" l="1"/>
  <c r="T124" i="3"/>
  <c r="B166" i="1"/>
  <c r="A167" i="1"/>
  <c r="T125" i="3" l="1"/>
  <c r="U124" i="3"/>
  <c r="B167" i="1"/>
  <c r="A168" i="1"/>
  <c r="U125" i="3" l="1"/>
  <c r="T126" i="3"/>
  <c r="B168" i="1"/>
  <c r="A169" i="1"/>
  <c r="T127" i="3" l="1"/>
  <c r="U126" i="3"/>
  <c r="B169" i="1"/>
  <c r="A170" i="1"/>
  <c r="T128" i="3" l="1"/>
  <c r="U127" i="3"/>
  <c r="B170" i="1"/>
  <c r="A171" i="1"/>
  <c r="U128" i="3" l="1"/>
  <c r="T129" i="3"/>
  <c r="B171" i="1"/>
  <c r="A172" i="1"/>
  <c r="T130" i="3" l="1"/>
  <c r="U129" i="3"/>
  <c r="B172" i="1"/>
  <c r="A173" i="1"/>
  <c r="T131" i="3" l="1"/>
  <c r="U130" i="3"/>
  <c r="B173" i="1"/>
  <c r="A174" i="1"/>
  <c r="T132" i="3" l="1"/>
  <c r="U131" i="3"/>
  <c r="B174" i="1"/>
  <c r="A175" i="1"/>
  <c r="T133" i="3" l="1"/>
  <c r="U132" i="3"/>
  <c r="B175" i="1"/>
  <c r="A176" i="1"/>
  <c r="U133" i="3" l="1"/>
  <c r="T134" i="3"/>
  <c r="B176" i="1"/>
  <c r="A177" i="1"/>
  <c r="T135" i="3" l="1"/>
  <c r="U134" i="3"/>
  <c r="B177" i="1"/>
  <c r="A178" i="1"/>
  <c r="T136" i="3" l="1"/>
  <c r="U135" i="3"/>
  <c r="B178" i="1"/>
  <c r="A179" i="1"/>
  <c r="U136" i="3" l="1"/>
  <c r="T137" i="3"/>
  <c r="B179" i="1"/>
  <c r="A180" i="1"/>
  <c r="T138" i="3" l="1"/>
  <c r="U137" i="3"/>
  <c r="B180" i="1"/>
  <c r="A181" i="1"/>
  <c r="U138" i="3" l="1"/>
  <c r="T139" i="3"/>
  <c r="B181" i="1"/>
  <c r="A182" i="1"/>
  <c r="U139" i="3" l="1"/>
  <c r="T140" i="3"/>
  <c r="B182" i="1"/>
  <c r="A183" i="1"/>
  <c r="T141" i="3" l="1"/>
  <c r="U140" i="3"/>
  <c r="B183" i="1"/>
  <c r="A184" i="1"/>
  <c r="U141" i="3" l="1"/>
  <c r="T142" i="3"/>
  <c r="B184" i="1"/>
  <c r="A185" i="1"/>
  <c r="T143" i="3" l="1"/>
  <c r="U142" i="3"/>
  <c r="B185" i="1"/>
  <c r="A186" i="1"/>
  <c r="T144" i="3" l="1"/>
  <c r="U143" i="3"/>
  <c r="B186" i="1"/>
  <c r="A187" i="1"/>
  <c r="U144" i="3" l="1"/>
  <c r="T145" i="3"/>
  <c r="B187" i="1"/>
  <c r="A188" i="1"/>
  <c r="T146" i="3" l="1"/>
  <c r="U145" i="3"/>
  <c r="B188" i="1"/>
  <c r="A189" i="1"/>
  <c r="T147" i="3" l="1"/>
  <c r="U146" i="3"/>
  <c r="B189" i="1"/>
  <c r="A190" i="1"/>
  <c r="T148" i="3" l="1"/>
  <c r="U147" i="3"/>
  <c r="B190" i="1"/>
  <c r="A191" i="1"/>
  <c r="T149" i="3" l="1"/>
  <c r="U149" i="3" s="1"/>
  <c r="U148" i="3"/>
  <c r="B191" i="1"/>
  <c r="A192" i="1"/>
  <c r="B192" i="1" l="1"/>
  <c r="A193" i="1"/>
  <c r="B193" i="1" l="1"/>
  <c r="A194" i="1"/>
  <c r="B194" i="1" l="1"/>
  <c r="A195" i="1"/>
  <c r="B195" i="1" l="1"/>
  <c r="A196" i="1"/>
  <c r="B196" i="1" l="1"/>
  <c r="A197" i="1"/>
  <c r="B197" i="1" l="1"/>
  <c r="A198" i="1"/>
  <c r="B198" i="1" l="1"/>
  <c r="A199" i="1"/>
  <c r="B199" i="1" l="1"/>
  <c r="A200" i="1"/>
  <c r="B200" i="1" l="1"/>
  <c r="A201" i="1"/>
  <c r="B201" i="1" l="1"/>
  <c r="A202" i="1"/>
  <c r="B202" i="1" l="1"/>
  <c r="A203" i="1"/>
  <c r="B203" i="1" l="1"/>
  <c r="A204" i="1"/>
  <c r="B204" i="1" l="1"/>
  <c r="A205" i="1"/>
  <c r="B205" i="1" l="1"/>
  <c r="A206" i="1"/>
  <c r="B206" i="1" l="1"/>
  <c r="A207" i="1"/>
  <c r="B207" i="1" l="1"/>
  <c r="A208" i="1"/>
  <c r="B208" i="1" l="1"/>
  <c r="A209" i="1"/>
  <c r="B209" i="1" l="1"/>
  <c r="A210" i="1"/>
  <c r="B210" i="1" l="1"/>
  <c r="A211" i="1"/>
  <c r="B211" i="1" l="1"/>
  <c r="A212" i="1"/>
  <c r="B212" i="1" l="1"/>
  <c r="A213" i="1"/>
  <c r="B213" i="1" l="1"/>
  <c r="A214" i="1"/>
  <c r="B214" i="1" l="1"/>
  <c r="A215" i="1"/>
  <c r="B215" i="1" l="1"/>
  <c r="A216" i="1"/>
  <c r="B216" i="1" l="1"/>
  <c r="A217" i="1"/>
  <c r="B217" i="1" l="1"/>
  <c r="A218" i="1"/>
  <c r="B218" i="1" l="1"/>
  <c r="A219" i="1"/>
  <c r="B219" i="1" l="1"/>
  <c r="A220" i="1"/>
  <c r="B220" i="1" l="1"/>
  <c r="A221" i="1"/>
  <c r="B221" i="1" l="1"/>
  <c r="A222" i="1"/>
  <c r="B222" i="1" l="1"/>
  <c r="A223" i="1"/>
  <c r="B223" i="1" l="1"/>
  <c r="A224" i="1"/>
  <c r="B224" i="1" l="1"/>
  <c r="A225" i="1"/>
  <c r="B225" i="1" l="1"/>
  <c r="A226" i="1"/>
  <c r="B226" i="1" l="1"/>
  <c r="A227" i="1"/>
  <c r="B227" i="1" l="1"/>
  <c r="A228" i="1"/>
  <c r="B228" i="1" l="1"/>
  <c r="A229" i="1"/>
  <c r="B229" i="1" l="1"/>
  <c r="A230" i="1"/>
  <c r="B230" i="1" l="1"/>
  <c r="A231" i="1"/>
  <c r="B231" i="1" l="1"/>
  <c r="A232" i="1"/>
  <c r="B232" i="1" l="1"/>
  <c r="A233" i="1"/>
  <c r="B233" i="1" l="1"/>
  <c r="A234" i="1"/>
  <c r="B234" i="1" l="1"/>
  <c r="A235" i="1"/>
  <c r="B235" i="1" l="1"/>
  <c r="A236" i="1"/>
  <c r="B236" i="1" l="1"/>
  <c r="A237" i="1"/>
  <c r="A238" i="1" l="1"/>
  <c r="B237" i="1"/>
  <c r="A239" i="1" l="1"/>
  <c r="B238" i="1"/>
  <c r="A240" i="1" l="1"/>
  <c r="B239" i="1"/>
  <c r="B240" i="1" l="1"/>
  <c r="A241" i="1"/>
  <c r="B241" i="1" l="1"/>
  <c r="A242" i="1"/>
  <c r="B242" i="1" l="1"/>
  <c r="A243" i="1"/>
  <c r="B243" i="1" l="1"/>
  <c r="A244" i="1"/>
  <c r="B244" i="1" l="1"/>
  <c r="A245" i="1"/>
  <c r="B245" i="1" l="1"/>
  <c r="A246" i="1"/>
  <c r="B246" i="1" l="1"/>
  <c r="A247" i="1"/>
  <c r="B247" i="1" l="1"/>
  <c r="A248" i="1"/>
  <c r="B248" i="1" l="1"/>
  <c r="A249" i="1"/>
  <c r="B249" i="1" l="1"/>
  <c r="A250" i="1"/>
  <c r="B250" i="1" l="1"/>
  <c r="A251" i="1"/>
  <c r="B251" i="1" l="1"/>
  <c r="A252" i="1"/>
  <c r="B252" i="1" l="1"/>
  <c r="A253" i="1"/>
  <c r="B253" i="1" l="1"/>
  <c r="A254" i="1"/>
  <c r="B254" i="1" l="1"/>
  <c r="A255" i="1"/>
  <c r="B255" i="1" l="1"/>
  <c r="A256" i="1"/>
  <c r="B256" i="1" l="1"/>
  <c r="A257" i="1"/>
  <c r="B257" i="1" l="1"/>
  <c r="A258" i="1"/>
  <c r="B258" i="1" l="1"/>
  <c r="A259" i="1"/>
  <c r="B259" i="1" l="1"/>
  <c r="A260" i="1"/>
  <c r="B260" i="1" l="1"/>
  <c r="A261" i="1"/>
  <c r="B261" i="1" l="1"/>
  <c r="A262" i="1"/>
  <c r="B262" i="1" l="1"/>
  <c r="A263" i="1"/>
  <c r="B263" i="1" l="1"/>
  <c r="A264" i="1"/>
  <c r="B264" i="1" l="1"/>
  <c r="A265" i="1"/>
  <c r="B265" i="1" l="1"/>
  <c r="A266" i="1"/>
  <c r="B266" i="1" l="1"/>
  <c r="A267" i="1"/>
  <c r="B267" i="1" l="1"/>
  <c r="A268" i="1"/>
  <c r="B268" i="1" l="1"/>
  <c r="A269" i="1"/>
  <c r="B269" i="1" l="1"/>
  <c r="A270" i="1"/>
  <c r="B270" i="1" l="1"/>
  <c r="A271" i="1"/>
  <c r="B271" i="1" l="1"/>
  <c r="A272" i="1"/>
  <c r="B272" i="1" l="1"/>
  <c r="A273" i="1"/>
  <c r="B273" i="1" l="1"/>
  <c r="A274" i="1"/>
  <c r="B274" i="1" l="1"/>
  <c r="A275" i="1"/>
  <c r="B275" i="1" l="1"/>
  <c r="A276" i="1"/>
  <c r="B276" i="1" l="1"/>
  <c r="A277" i="1"/>
  <c r="B277" i="1" l="1"/>
  <c r="A278" i="1"/>
  <c r="B278" i="1" l="1"/>
  <c r="A279" i="1"/>
  <c r="B279" i="1" l="1"/>
  <c r="A280" i="1"/>
  <c r="B280" i="1" l="1"/>
  <c r="A281" i="1"/>
  <c r="B281" i="1" l="1"/>
  <c r="A282" i="1"/>
  <c r="B282" i="1" l="1"/>
  <c r="A283" i="1"/>
  <c r="B283" i="1" l="1"/>
  <c r="A284" i="1"/>
  <c r="B284" i="1" l="1"/>
  <c r="A285" i="1"/>
  <c r="B285" i="1" l="1"/>
  <c r="A286" i="1"/>
  <c r="B286" i="1" l="1"/>
  <c r="A287" i="1"/>
  <c r="B287" i="1" l="1"/>
  <c r="A288" i="1"/>
  <c r="B288" i="1" l="1"/>
  <c r="A289" i="1"/>
  <c r="B289" i="1" l="1"/>
  <c r="A290" i="1"/>
  <c r="B290" i="1" l="1"/>
  <c r="A291" i="1"/>
  <c r="B291" i="1" l="1"/>
  <c r="A292" i="1"/>
  <c r="B292" i="1" l="1"/>
  <c r="A293" i="1"/>
  <c r="B293" i="1" l="1"/>
  <c r="A294" i="1"/>
  <c r="B294" i="1" l="1"/>
  <c r="A295" i="1"/>
  <c r="B295" i="1" l="1"/>
  <c r="A296" i="1"/>
  <c r="B296" i="1" l="1"/>
  <c r="A297" i="1"/>
  <c r="B297" i="1" l="1"/>
  <c r="A298" i="1"/>
  <c r="B298" i="1" l="1"/>
  <c r="A299" i="1"/>
  <c r="B299" i="1" l="1"/>
  <c r="A300" i="1"/>
  <c r="B300" i="1" l="1"/>
  <c r="A301" i="1"/>
  <c r="B301" i="1" l="1"/>
  <c r="A302" i="1"/>
  <c r="B302" i="1" l="1"/>
  <c r="A303" i="1"/>
  <c r="B303" i="1" l="1"/>
  <c r="A304" i="1"/>
  <c r="B304" i="1" l="1"/>
  <c r="A305" i="1"/>
  <c r="B305" i="1" l="1"/>
  <c r="A306" i="1"/>
  <c r="B306" i="1" l="1"/>
  <c r="A307" i="1"/>
  <c r="B307" i="1" l="1"/>
  <c r="A308" i="1"/>
  <c r="B308" i="1" l="1"/>
  <c r="A309" i="1"/>
  <c r="B309" i="1" l="1"/>
  <c r="A310" i="1"/>
  <c r="B310" i="1" l="1"/>
  <c r="A311" i="1"/>
  <c r="B311" i="1" l="1"/>
  <c r="A312" i="1"/>
  <c r="B312" i="1" l="1"/>
  <c r="A313" i="1"/>
  <c r="B313" i="1" l="1"/>
  <c r="A314" i="1"/>
  <c r="B314" i="1" l="1"/>
  <c r="A315" i="1"/>
  <c r="B315" i="1" l="1"/>
  <c r="A316" i="1"/>
  <c r="B316" i="1" l="1"/>
  <c r="A317" i="1"/>
  <c r="B317" i="1" l="1"/>
  <c r="A318" i="1"/>
  <c r="B318" i="1" l="1"/>
  <c r="A319" i="1"/>
  <c r="B319" i="1" l="1"/>
  <c r="A320" i="1"/>
  <c r="B320" i="1" l="1"/>
  <c r="A321" i="1"/>
  <c r="B321" i="1" l="1"/>
  <c r="A322" i="1"/>
  <c r="B322" i="1" l="1"/>
  <c r="A323" i="1"/>
  <c r="B323" i="1" l="1"/>
  <c r="A324" i="1"/>
  <c r="B324" i="1" l="1"/>
  <c r="A325" i="1"/>
  <c r="B325" i="1" l="1"/>
  <c r="A326" i="1"/>
  <c r="B326" i="1" l="1"/>
  <c r="A327" i="1"/>
  <c r="B327" i="1" l="1"/>
  <c r="A328" i="1"/>
  <c r="B328" i="1" l="1"/>
  <c r="A329" i="1"/>
  <c r="B329" i="1" l="1"/>
  <c r="A330" i="1"/>
  <c r="B330" i="1" l="1"/>
  <c r="A331" i="1"/>
  <c r="B331" i="1" l="1"/>
  <c r="A332" i="1"/>
  <c r="B332" i="1" l="1"/>
  <c r="A333" i="1"/>
  <c r="B333" i="1" l="1"/>
  <c r="A334" i="1"/>
  <c r="B334" i="1" l="1"/>
  <c r="A335" i="1"/>
  <c r="B335" i="1" l="1"/>
  <c r="A336" i="1"/>
  <c r="B336" i="1" l="1"/>
  <c r="A337" i="1"/>
  <c r="B337" i="1" l="1"/>
  <c r="A338" i="1"/>
  <c r="B338" i="1" l="1"/>
  <c r="A339" i="1"/>
  <c r="B339" i="1" l="1"/>
  <c r="A340" i="1"/>
  <c r="B340" i="1" l="1"/>
  <c r="A341" i="1"/>
  <c r="B341" i="1" l="1"/>
  <c r="A342" i="1"/>
  <c r="B342" i="1" l="1"/>
  <c r="A343" i="1"/>
  <c r="B343" i="1" l="1"/>
  <c r="A344" i="1"/>
  <c r="B344" i="1" l="1"/>
  <c r="A345" i="1"/>
  <c r="B345" i="1" l="1"/>
  <c r="A346" i="1"/>
  <c r="B346" i="1" l="1"/>
  <c r="A347" i="1"/>
  <c r="B347" i="1" l="1"/>
  <c r="A348" i="1"/>
  <c r="B348" i="1" l="1"/>
  <c r="A349" i="1"/>
  <c r="B349" i="1" l="1"/>
  <c r="A350" i="1"/>
  <c r="B350" i="1" l="1"/>
  <c r="A351" i="1"/>
  <c r="B351" i="1" l="1"/>
  <c r="A352" i="1"/>
  <c r="B352" i="1" l="1"/>
  <c r="A353" i="1"/>
  <c r="B353" i="1" l="1"/>
  <c r="A354" i="1"/>
  <c r="B354" i="1" l="1"/>
  <c r="A355" i="1"/>
  <c r="B355" i="1" l="1"/>
  <c r="A356" i="1"/>
  <c r="B356" i="1" l="1"/>
  <c r="A357" i="1"/>
  <c r="B357" i="1" l="1"/>
  <c r="A358" i="1"/>
  <c r="B358" i="1" l="1"/>
  <c r="A359" i="1"/>
  <c r="B359" i="1" l="1"/>
  <c r="A360" i="1"/>
  <c r="B360" i="1" l="1"/>
  <c r="A361" i="1"/>
  <c r="B361" i="1" l="1"/>
  <c r="A362" i="1"/>
  <c r="B362" i="1" l="1"/>
  <c r="A363" i="1"/>
  <c r="B363" i="1" l="1"/>
  <c r="A364" i="1"/>
  <c r="B364" i="1" l="1"/>
  <c r="A365" i="1"/>
  <c r="B365" i="1" l="1"/>
  <c r="A366" i="1"/>
  <c r="B366" i="1" l="1"/>
  <c r="A367" i="1"/>
  <c r="B367" i="1" l="1"/>
  <c r="A368" i="1"/>
  <c r="B368" i="1" l="1"/>
  <c r="A369" i="1"/>
  <c r="B369" i="1" l="1"/>
  <c r="A370" i="1"/>
  <c r="B370" i="1" l="1"/>
  <c r="A371" i="1"/>
  <c r="B371" i="1" l="1"/>
  <c r="A372" i="1"/>
  <c r="B372" i="1" l="1"/>
  <c r="A373" i="1"/>
  <c r="B373" i="1" l="1"/>
  <c r="A374" i="1"/>
  <c r="B374" i="1" l="1"/>
  <c r="A375" i="1"/>
  <c r="B375" i="1" l="1"/>
  <c r="A376" i="1"/>
  <c r="B376" i="1" l="1"/>
  <c r="A377" i="1"/>
  <c r="B377" i="1" l="1"/>
  <c r="A378" i="1"/>
  <c r="B378" i="1" l="1"/>
  <c r="A379" i="1"/>
  <c r="B379" i="1" l="1"/>
  <c r="A380" i="1"/>
  <c r="B380" i="1" l="1"/>
  <c r="A381" i="1"/>
  <c r="B381" i="1" l="1"/>
  <c r="A382" i="1"/>
  <c r="B382" i="1" l="1"/>
  <c r="A383" i="1"/>
  <c r="B383" i="1" l="1"/>
  <c r="A384" i="1"/>
  <c r="B384" i="1" l="1"/>
  <c r="A385" i="1"/>
  <c r="B385" i="1" l="1"/>
  <c r="A386" i="1"/>
  <c r="B386" i="1" l="1"/>
  <c r="A387" i="1"/>
  <c r="B387" i="1" l="1"/>
  <c r="A388" i="1"/>
  <c r="B388" i="1" l="1"/>
  <c r="A389" i="1"/>
  <c r="A390" i="1" l="1"/>
  <c r="B389" i="1"/>
  <c r="A391" i="1" l="1"/>
  <c r="B390" i="1"/>
  <c r="A392" i="1" l="1"/>
  <c r="B391" i="1"/>
  <c r="B392" i="1" l="1"/>
  <c r="A393" i="1"/>
  <c r="B393" i="1" l="1"/>
  <c r="A394" i="1"/>
  <c r="B394" i="1" l="1"/>
  <c r="A395" i="1"/>
  <c r="B395" i="1" l="1"/>
  <c r="A396" i="1"/>
  <c r="B396" i="1" l="1"/>
  <c r="A397" i="1"/>
  <c r="B397" i="1" l="1"/>
  <c r="A398" i="1"/>
  <c r="B398" i="1" l="1"/>
  <c r="A399" i="1"/>
  <c r="B399" i="1" l="1"/>
  <c r="A400" i="1"/>
  <c r="B400" i="1" l="1"/>
  <c r="A401" i="1"/>
  <c r="B401" i="1" l="1"/>
  <c r="A402" i="1"/>
  <c r="B402" i="1" l="1"/>
  <c r="A403" i="1"/>
  <c r="B403" i="1" l="1"/>
  <c r="A404" i="1"/>
  <c r="B404" i="1" l="1"/>
  <c r="A405" i="1"/>
  <c r="B405" i="1" l="1"/>
  <c r="A406" i="1"/>
  <c r="B406" i="1" l="1"/>
  <c r="A407" i="1"/>
  <c r="B407" i="1" l="1"/>
  <c r="A408" i="1"/>
  <c r="B408" i="1" l="1"/>
  <c r="A409" i="1"/>
  <c r="B409" i="1" l="1"/>
  <c r="A410" i="1"/>
  <c r="B410" i="1" l="1"/>
  <c r="A411" i="1"/>
  <c r="B411" i="1" l="1"/>
  <c r="A412" i="1"/>
  <c r="B412" i="1" l="1"/>
  <c r="A413" i="1"/>
  <c r="B413" i="1" l="1"/>
  <c r="A414" i="1"/>
  <c r="B414" i="1" l="1"/>
  <c r="A415" i="1"/>
  <c r="B415" i="1" l="1"/>
  <c r="A416" i="1"/>
  <c r="B416" i="1" l="1"/>
  <c r="A417" i="1"/>
  <c r="B417" i="1" l="1"/>
  <c r="A418" i="1"/>
  <c r="B418" i="1" l="1"/>
  <c r="A419" i="1"/>
  <c r="B419" i="1" l="1"/>
  <c r="A420" i="1"/>
  <c r="B420" i="1" l="1"/>
  <c r="A421" i="1"/>
  <c r="B421" i="1" l="1"/>
  <c r="A422" i="1"/>
  <c r="B422" i="1" l="1"/>
  <c r="A423" i="1"/>
  <c r="B423" i="1" l="1"/>
  <c r="A424" i="1"/>
  <c r="B424" i="1" l="1"/>
  <c r="A425" i="1"/>
  <c r="B425" i="1" l="1"/>
  <c r="A426" i="1"/>
  <c r="B426" i="1" l="1"/>
  <c r="A427" i="1"/>
  <c r="B427" i="1" l="1"/>
  <c r="A428" i="1"/>
  <c r="B428" i="1" l="1"/>
  <c r="A429" i="1"/>
  <c r="B429" i="1" l="1"/>
  <c r="A430" i="1"/>
  <c r="B430" i="1" l="1"/>
  <c r="A431" i="1"/>
  <c r="B431" i="1" l="1"/>
  <c r="A432" i="1"/>
  <c r="B432" i="1" l="1"/>
  <c r="A433" i="1"/>
  <c r="B433" i="1" l="1"/>
  <c r="A434" i="1"/>
  <c r="B434" i="1" l="1"/>
  <c r="A435" i="1"/>
  <c r="B435" i="1" l="1"/>
  <c r="A436" i="1"/>
  <c r="B436" i="1" l="1"/>
  <c r="A437" i="1"/>
  <c r="B437" i="1" l="1"/>
  <c r="A438" i="1"/>
  <c r="B438" i="1" l="1"/>
  <c r="A439" i="1"/>
  <c r="B439" i="1" l="1"/>
  <c r="A440" i="1"/>
  <c r="B440" i="1" l="1"/>
  <c r="A441" i="1"/>
  <c r="B441" i="1" l="1"/>
  <c r="A442" i="1"/>
  <c r="B442" i="1" l="1"/>
  <c r="A443" i="1"/>
  <c r="B443" i="1" l="1"/>
  <c r="A444" i="1"/>
  <c r="B444" i="1" l="1"/>
  <c r="A445" i="1"/>
  <c r="B445" i="1" l="1"/>
  <c r="A446" i="1"/>
  <c r="B446" i="1" l="1"/>
  <c r="A447" i="1"/>
  <c r="B447" i="1" l="1"/>
  <c r="A448" i="1"/>
  <c r="B448" i="1" l="1"/>
  <c r="A449" i="1"/>
  <c r="B449" i="1" l="1"/>
  <c r="A450" i="1"/>
  <c r="B450" i="1" l="1"/>
  <c r="A451" i="1"/>
  <c r="B451" i="1" l="1"/>
  <c r="A452" i="1"/>
  <c r="B452" i="1" l="1"/>
  <c r="A453" i="1"/>
  <c r="B453" i="1" l="1"/>
  <c r="A454" i="1"/>
  <c r="B454" i="1" l="1"/>
  <c r="A455" i="1"/>
  <c r="B455" i="1" l="1"/>
  <c r="A456" i="1"/>
  <c r="B456" i="1" l="1"/>
  <c r="A457" i="1"/>
  <c r="B457" i="1" l="1"/>
  <c r="A458" i="1"/>
  <c r="B458" i="1" l="1"/>
  <c r="A459" i="1"/>
  <c r="B459" i="1" l="1"/>
  <c r="A460" i="1"/>
  <c r="B460" i="1" l="1"/>
  <c r="A461" i="1"/>
  <c r="B461" i="1" l="1"/>
  <c r="A462" i="1"/>
  <c r="B462" i="1" l="1"/>
  <c r="A463" i="1"/>
  <c r="B463" i="1" l="1"/>
  <c r="A464" i="1"/>
  <c r="B464" i="1" l="1"/>
  <c r="A465" i="1"/>
  <c r="B465" i="1" l="1"/>
  <c r="A466" i="1"/>
  <c r="B466" i="1" l="1"/>
  <c r="A467" i="1"/>
  <c r="B467" i="1" l="1"/>
  <c r="A468" i="1"/>
  <c r="B468" i="1" l="1"/>
  <c r="A469" i="1"/>
  <c r="B469" i="1" l="1"/>
  <c r="A470" i="1"/>
  <c r="B470" i="1" l="1"/>
  <c r="A471" i="1"/>
  <c r="B471" i="1" l="1"/>
  <c r="A472" i="1"/>
  <c r="B472" i="1" l="1"/>
  <c r="A473" i="1"/>
  <c r="B473" i="1" l="1"/>
  <c r="A474" i="1"/>
  <c r="B474" i="1" l="1"/>
  <c r="A475" i="1"/>
  <c r="B475" i="1" l="1"/>
  <c r="A476" i="1"/>
  <c r="B476" i="1" l="1"/>
  <c r="A477" i="1"/>
  <c r="B477" i="1" l="1"/>
  <c r="A478" i="1"/>
  <c r="B478" i="1" l="1"/>
  <c r="A479" i="1"/>
  <c r="B479" i="1" l="1"/>
  <c r="A480" i="1"/>
  <c r="B480" i="1" l="1"/>
  <c r="A481" i="1"/>
  <c r="B481" i="1" l="1"/>
  <c r="A482" i="1"/>
  <c r="B482" i="1" l="1"/>
  <c r="A483" i="1"/>
  <c r="B483" i="1" l="1"/>
  <c r="A484" i="1"/>
  <c r="B484" i="1" s="1"/>
  <c r="O23" i="3" l="1"/>
  <c r="O24" i="3" s="1"/>
  <c r="O25" i="3" s="1"/>
  <c r="BP32" i="3" l="1"/>
  <c r="BQ32" i="3" s="1"/>
  <c r="V110" i="3"/>
  <c r="W110" i="3" s="1"/>
  <c r="V128" i="3"/>
  <c r="W128" i="3" s="1"/>
  <c r="V106" i="3"/>
  <c r="W106" i="3" s="1"/>
  <c r="V143" i="3"/>
  <c r="W143" i="3" s="1"/>
  <c r="V30" i="3"/>
  <c r="W30" i="3" s="1"/>
  <c r="BP30" i="3"/>
  <c r="BQ30" i="3" s="1"/>
  <c r="V131" i="3"/>
  <c r="W131" i="3" s="1"/>
  <c r="V93" i="3"/>
  <c r="W93" i="3" s="1"/>
  <c r="V100" i="3"/>
  <c r="W100" i="3" s="1"/>
  <c r="V116" i="3"/>
  <c r="W116" i="3" s="1"/>
  <c r="V92" i="3"/>
  <c r="W92" i="3" s="1"/>
  <c r="V129" i="3"/>
  <c r="W129" i="3" s="1"/>
  <c r="BP29" i="3"/>
  <c r="BQ29" i="3" s="1"/>
  <c r="V136" i="3"/>
  <c r="W136" i="3" s="1"/>
  <c r="V29" i="3"/>
  <c r="W29" i="3" s="1"/>
  <c r="V140" i="3"/>
  <c r="W140" i="3" s="1"/>
  <c r="V31" i="3"/>
  <c r="W31" i="3" s="1"/>
  <c r="V107" i="3"/>
  <c r="W107" i="3" s="1"/>
  <c r="V73" i="3"/>
  <c r="W73" i="3" s="1"/>
  <c r="V50" i="3"/>
  <c r="W50" i="3" s="1"/>
  <c r="V38" i="3"/>
  <c r="W38" i="3" s="1"/>
  <c r="V53" i="3"/>
  <c r="W53" i="3" s="1"/>
  <c r="V52" i="3"/>
  <c r="W52" i="3" s="1"/>
  <c r="V27" i="3"/>
  <c r="W27" i="3" s="1"/>
  <c r="V132" i="3"/>
  <c r="W132" i="3" s="1"/>
  <c r="V66" i="3"/>
  <c r="W66" i="3" s="1"/>
  <c r="V83" i="3"/>
  <c r="W83" i="3" s="1"/>
  <c r="V36" i="3"/>
  <c r="W36" i="3" s="1"/>
  <c r="BP31" i="3"/>
  <c r="BQ31" i="3" s="1"/>
  <c r="V109" i="3"/>
  <c r="W109" i="3" s="1"/>
  <c r="V125" i="3"/>
  <c r="W125" i="3" s="1"/>
  <c r="V89" i="3"/>
  <c r="W89" i="3" s="1"/>
  <c r="V91" i="3"/>
  <c r="W91" i="3" s="1"/>
  <c r="V124" i="3"/>
  <c r="W124" i="3" s="1"/>
  <c r="V133" i="3"/>
  <c r="W133" i="3" s="1"/>
  <c r="V70" i="3"/>
  <c r="W70" i="3" s="1"/>
  <c r="V61" i="3"/>
  <c r="W61" i="3" s="1"/>
  <c r="AT30" i="3"/>
  <c r="AU30" i="3" s="1"/>
  <c r="V130" i="3"/>
  <c r="W130" i="3" s="1"/>
  <c r="V82" i="3"/>
  <c r="W82" i="3" s="1"/>
  <c r="V71" i="3"/>
  <c r="W71" i="3" s="1"/>
  <c r="V108" i="3"/>
  <c r="W108" i="3" s="1"/>
  <c r="V51" i="3"/>
  <c r="W51" i="3" s="1"/>
  <c r="V95" i="3"/>
  <c r="W95" i="3" s="1"/>
  <c r="V86" i="3"/>
  <c r="W86" i="3" s="1"/>
  <c r="V90" i="3"/>
  <c r="W90" i="3" s="1"/>
  <c r="V35" i="3"/>
  <c r="W35" i="3" s="1"/>
  <c r="V122" i="3"/>
  <c r="W122" i="3" s="1"/>
  <c r="V113" i="3"/>
  <c r="W113" i="3" s="1"/>
  <c r="V39" i="3"/>
  <c r="W39" i="3" s="1"/>
  <c r="V62" i="3"/>
  <c r="W62" i="3" s="1"/>
  <c r="V76" i="3"/>
  <c r="W76" i="3" s="1"/>
  <c r="V111" i="3"/>
  <c r="W111" i="3" s="1"/>
  <c r="V142" i="3"/>
  <c r="W142" i="3" s="1"/>
  <c r="V112" i="3"/>
  <c r="W112" i="3" s="1"/>
  <c r="V105" i="3"/>
  <c r="W105" i="3" s="1"/>
  <c r="V85" i="3"/>
  <c r="W85" i="3" s="1"/>
  <c r="V135" i="3"/>
  <c r="W135" i="3" s="1"/>
  <c r="V101" i="3"/>
  <c r="W101" i="3" s="1"/>
  <c r="V138" i="3"/>
  <c r="W138" i="3" s="1"/>
  <c r="V146" i="3"/>
  <c r="W146" i="3" s="1"/>
  <c r="V97" i="3"/>
  <c r="W97" i="3" s="1"/>
  <c r="V121" i="3"/>
  <c r="W121" i="3" s="1"/>
  <c r="V34" i="3"/>
  <c r="W34" i="3" s="1"/>
  <c r="V64" i="3"/>
  <c r="W64" i="3" s="1"/>
  <c r="V72" i="3"/>
  <c r="W72" i="3" s="1"/>
  <c r="AT28" i="3"/>
  <c r="AU28" i="3" s="1"/>
  <c r="AT32" i="3"/>
  <c r="AU32" i="3" s="1"/>
  <c r="V42" i="3"/>
  <c r="W42" i="3" s="1"/>
  <c r="K1" i="3"/>
  <c r="AT29" i="3"/>
  <c r="AU29" i="3" s="1"/>
  <c r="V45" i="3"/>
  <c r="W45" i="3" s="1"/>
  <c r="BP28" i="3"/>
  <c r="BQ28" i="3" s="1"/>
  <c r="V137" i="3"/>
  <c r="W137" i="3" s="1"/>
  <c r="V68" i="3"/>
  <c r="W68" i="3" s="1"/>
  <c r="V96" i="3"/>
  <c r="W96" i="3" s="1"/>
  <c r="V69" i="3"/>
  <c r="W69" i="3" s="1"/>
  <c r="V103" i="3"/>
  <c r="W103" i="3" s="1"/>
  <c r="V117" i="3"/>
  <c r="W117" i="3" s="1"/>
  <c r="V75" i="3"/>
  <c r="W75" i="3" s="1"/>
  <c r="AT31" i="3"/>
  <c r="AU31" i="3" s="1"/>
  <c r="V56" i="3"/>
  <c r="W56" i="3" s="1"/>
  <c r="V119" i="3"/>
  <c r="W119" i="3" s="1"/>
  <c r="V32" i="3"/>
  <c r="W32" i="3" s="1"/>
  <c r="BP27" i="3"/>
  <c r="BQ27" i="3" s="1"/>
  <c r="V67" i="3"/>
  <c r="W67" i="3" s="1"/>
  <c r="V60" i="3"/>
  <c r="W60" i="3" s="1"/>
  <c r="V46" i="3"/>
  <c r="W46" i="3" s="1"/>
  <c r="V120" i="3"/>
  <c r="W120" i="3" s="1"/>
  <c r="V126" i="3"/>
  <c r="W126" i="3" s="1"/>
  <c r="V149" i="3"/>
  <c r="W149" i="3" s="1"/>
  <c r="V49" i="3"/>
  <c r="W49" i="3" s="1"/>
  <c r="V127" i="3"/>
  <c r="W127" i="3" s="1"/>
  <c r="V80" i="3"/>
  <c r="W80" i="3" s="1"/>
  <c r="V44" i="3"/>
  <c r="W44" i="3" s="1"/>
  <c r="V65" i="3"/>
  <c r="W65" i="3" s="1"/>
  <c r="V99" i="3"/>
  <c r="W99" i="3" s="1"/>
  <c r="V47" i="3"/>
  <c r="W47" i="3" s="1"/>
  <c r="V81" i="3"/>
  <c r="W81" i="3" s="1"/>
  <c r="V104" i="3"/>
  <c r="W104" i="3" s="1"/>
  <c r="V102" i="3"/>
  <c r="W102" i="3" s="1"/>
  <c r="V114" i="3"/>
  <c r="W114" i="3" s="1"/>
  <c r="V43" i="3"/>
  <c r="W43" i="3" s="1"/>
  <c r="V40" i="3"/>
  <c r="W40" i="3" s="1"/>
  <c r="V84" i="3"/>
  <c r="W84" i="3" s="1"/>
  <c r="V63" i="3"/>
  <c r="W63" i="3" s="1"/>
  <c r="V145" i="3"/>
  <c r="W145" i="3" s="1"/>
  <c r="V59" i="3"/>
  <c r="W59" i="3" s="1"/>
  <c r="V48" i="3"/>
  <c r="W48" i="3" s="1"/>
  <c r="V118" i="3"/>
  <c r="W118" i="3" s="1"/>
  <c r="V139" i="3"/>
  <c r="W139" i="3" s="1"/>
  <c r="V141" i="3"/>
  <c r="W141" i="3" s="1"/>
  <c r="V57" i="3"/>
  <c r="W57" i="3" s="1"/>
  <c r="V77" i="3"/>
  <c r="W77" i="3" s="1"/>
  <c r="AT27" i="3"/>
  <c r="AU27" i="3" s="1"/>
  <c r="V74" i="3"/>
  <c r="W74" i="3" s="1"/>
  <c r="V55" i="3"/>
  <c r="W55" i="3" s="1"/>
  <c r="V123" i="3"/>
  <c r="W123" i="3" s="1"/>
  <c r="V98" i="3"/>
  <c r="W98" i="3" s="1"/>
  <c r="AT3" i="3"/>
  <c r="V115" i="3"/>
  <c r="W115" i="3" s="1"/>
  <c r="V41" i="3"/>
  <c r="W41" i="3" s="1"/>
  <c r="V78" i="3"/>
  <c r="W78" i="3" s="1"/>
  <c r="V87" i="3"/>
  <c r="W87" i="3" s="1"/>
  <c r="V88" i="3"/>
  <c r="W88" i="3" s="1"/>
  <c r="V134" i="3"/>
  <c r="W134" i="3" s="1"/>
  <c r="V147" i="3"/>
  <c r="W147" i="3" s="1"/>
  <c r="V58" i="3"/>
  <c r="W58" i="3" s="1"/>
  <c r="V94" i="3"/>
  <c r="W94" i="3" s="1"/>
  <c r="V37" i="3"/>
  <c r="W37" i="3" s="1"/>
  <c r="V28" i="3"/>
  <c r="W28" i="3" s="1"/>
  <c r="V33" i="3"/>
  <c r="W33" i="3" s="1"/>
  <c r="V144" i="3"/>
  <c r="W144" i="3" s="1"/>
  <c r="V79" i="3"/>
  <c r="W79" i="3" s="1"/>
  <c r="V54" i="3"/>
  <c r="W54" i="3" s="1"/>
  <c r="V148" i="3"/>
  <c r="W148" i="3" s="1"/>
  <c r="AW22" i="3"/>
  <c r="M1" i="3" l="1"/>
  <c r="M2" i="3" l="1"/>
  <c r="N2" i="3" l="1"/>
  <c r="M3" i="3" s="1"/>
  <c r="O3" i="3"/>
  <c r="M4" i="3"/>
  <c r="AW23" i="3"/>
  <c r="BS22" i="3" l="1"/>
  <c r="HD22" i="3"/>
  <c r="FN22" i="3"/>
  <c r="DX22" i="3"/>
  <c r="EL22" i="3"/>
  <c r="GB22" i="3"/>
  <c r="CV22" i="3"/>
  <c r="EZ22" i="3"/>
  <c r="DJ22" i="3"/>
  <c r="GP22" i="3"/>
  <c r="CH22" i="3"/>
  <c r="BP2" i="3"/>
  <c r="BP3" i="3" l="1"/>
  <c r="BM9" i="3"/>
  <c r="BM11" i="3" l="1"/>
  <c r="BO11" i="3"/>
  <c r="BH11" i="3" l="1"/>
  <c r="BO12" i="3"/>
  <c r="BK11" i="3"/>
  <c r="BN12" i="3"/>
  <c r="BM12" i="3" s="1"/>
  <c r="BK28" i="3"/>
  <c r="BK12" i="3" l="1"/>
  <c r="BN13" i="3"/>
  <c r="BM13" i="3" s="1"/>
  <c r="BO13" i="3"/>
  <c r="BO14" i="3" s="1"/>
  <c r="BO15" i="3" s="1"/>
  <c r="BO16" i="3" s="1"/>
  <c r="BO17" i="3" s="1"/>
  <c r="BO18" i="3" s="1"/>
  <c r="BO19" i="3" s="1"/>
  <c r="BH12" i="3"/>
  <c r="BH13" i="3" l="1"/>
  <c r="BN14" i="3"/>
  <c r="BM14" i="3" s="1"/>
  <c r="BK13" i="3"/>
  <c r="BI12" i="3"/>
  <c r="BK14" i="3" l="1"/>
  <c r="BN15" i="3"/>
  <c r="BM15" i="3" s="1"/>
  <c r="BI13" i="3"/>
  <c r="BH14" i="3"/>
  <c r="BI14" i="3" l="1"/>
  <c r="BH15" i="3"/>
  <c r="BK15" i="3"/>
  <c r="BN16" i="3"/>
  <c r="BM16" i="3" s="1"/>
  <c r="BI15" i="3" l="1"/>
  <c r="BK16" i="3"/>
  <c r="BN17" i="3"/>
  <c r="BM17" i="3" s="1"/>
  <c r="BH16" i="3"/>
  <c r="BH17" i="3" l="1"/>
  <c r="BK17" i="3"/>
  <c r="BN18" i="3"/>
  <c r="BM18" i="3" s="1"/>
  <c r="BI16" i="3"/>
  <c r="BK18" i="3" l="1"/>
  <c r="BN19" i="3"/>
  <c r="BM19" i="3" s="1"/>
  <c r="BK19" i="3" s="1"/>
  <c r="BI17" i="3"/>
  <c r="BH18" i="3"/>
  <c r="BI18" i="3" l="1"/>
  <c r="BI19" i="3" s="1"/>
  <c r="BI23" i="3" s="1"/>
  <c r="BI24" i="3" s="1"/>
  <c r="BI25" i="3" s="1"/>
  <c r="BK23" i="3"/>
  <c r="BH19" i="3"/>
  <c r="BH20" i="3" s="1"/>
  <c r="BH23" i="3" s="1"/>
  <c r="BU23" i="3" l="1"/>
  <c r="BS23" i="3" s="1"/>
  <c r="CE2" i="3" s="1"/>
  <c r="CE3" i="3" s="1"/>
  <c r="CB9" i="3" l="1"/>
  <c r="CD11" i="3" s="1"/>
  <c r="CB11" i="3" l="1"/>
  <c r="BZ11" i="3" s="1"/>
  <c r="BW11" i="3"/>
  <c r="CD12" i="3"/>
  <c r="CC12" i="3" l="1"/>
  <c r="CB12" i="3" s="1"/>
  <c r="BZ12" i="3" s="1"/>
  <c r="CD13" i="3"/>
  <c r="CD14" i="3" s="1"/>
  <c r="CD15" i="3" s="1"/>
  <c r="CD16" i="3" s="1"/>
  <c r="CD17" i="3" s="1"/>
  <c r="CD18" i="3" s="1"/>
  <c r="CD19" i="3" s="1"/>
  <c r="BW12" i="3"/>
  <c r="CC13" i="3" l="1"/>
  <c r="CB13" i="3" s="1"/>
  <c r="CC14" i="3" s="1"/>
  <c r="CB14" i="3" s="1"/>
  <c r="BX12" i="3"/>
  <c r="BW13" i="3" l="1"/>
  <c r="BW14" i="3" s="1"/>
  <c r="BZ13" i="3"/>
  <c r="BX13" i="3" s="1"/>
  <c r="BZ14" i="3"/>
  <c r="CC15" i="3"/>
  <c r="CB15" i="3" s="1"/>
  <c r="BW15" i="3" l="1"/>
  <c r="CC16" i="3"/>
  <c r="CB16" i="3" s="1"/>
  <c r="BZ15" i="3"/>
  <c r="BX14" i="3"/>
  <c r="BZ16" i="3" l="1"/>
  <c r="CC17" i="3"/>
  <c r="CB17" i="3" s="1"/>
  <c r="BX15" i="3"/>
  <c r="BW16" i="3"/>
  <c r="BX16" i="3" l="1"/>
  <c r="BW17" i="3"/>
  <c r="BZ17" i="3"/>
  <c r="CC18" i="3"/>
  <c r="CB18" i="3" s="1"/>
  <c r="BX17" i="3" l="1"/>
  <c r="CC19" i="3"/>
  <c r="CB19" i="3" s="1"/>
  <c r="BZ19" i="3" s="1"/>
  <c r="BZ18" i="3"/>
  <c r="BW18" i="3"/>
  <c r="BX18" i="3" l="1"/>
  <c r="BX19" i="3" s="1"/>
  <c r="BX23" i="3" s="1"/>
  <c r="BX24" i="3" s="1"/>
  <c r="BX25" i="3" s="1"/>
  <c r="BZ23" i="3"/>
  <c r="BW19" i="3"/>
  <c r="BW20" i="3" s="1"/>
  <c r="BW23" i="3" s="1"/>
  <c r="CJ23" i="3" l="1"/>
  <c r="CH23" i="3" s="1"/>
  <c r="CS2" i="3" l="1"/>
  <c r="DG2" i="3" s="1"/>
  <c r="DG3" i="3" l="1"/>
  <c r="DD9" i="3"/>
  <c r="DU2" i="3"/>
  <c r="CP9" i="3"/>
  <c r="CS3" i="3"/>
  <c r="DR9" i="3" l="1"/>
  <c r="DU3" i="3"/>
  <c r="EI2" i="3"/>
  <c r="CR11" i="3"/>
  <c r="CP11" i="3"/>
  <c r="DD11" i="3"/>
  <c r="DF11" i="3"/>
  <c r="DF12" i="3" l="1"/>
  <c r="CY11" i="3"/>
  <c r="EI3" i="3"/>
  <c r="EF9" i="3"/>
  <c r="EW2" i="3"/>
  <c r="DE12" i="3"/>
  <c r="DD12" i="3" s="1"/>
  <c r="DB11" i="3"/>
  <c r="CQ12" i="3"/>
  <c r="CP12" i="3" s="1"/>
  <c r="CN11" i="3"/>
  <c r="CR12" i="3"/>
  <c r="CK11" i="3"/>
  <c r="DT11" i="3"/>
  <c r="DR11" i="3"/>
  <c r="DE13" i="3" l="1"/>
  <c r="DD13" i="3" s="1"/>
  <c r="DB12" i="3"/>
  <c r="CN12" i="3"/>
  <c r="CQ13" i="3"/>
  <c r="CP13" i="3" s="1"/>
  <c r="EW3" i="3"/>
  <c r="ET9" i="3"/>
  <c r="FK2" i="3"/>
  <c r="DT12" i="3"/>
  <c r="DM11" i="3"/>
  <c r="EF11" i="3"/>
  <c r="EH11" i="3"/>
  <c r="CR13" i="3"/>
  <c r="CR14" i="3" s="1"/>
  <c r="CR15" i="3" s="1"/>
  <c r="CR16" i="3" s="1"/>
  <c r="CR17" i="3" s="1"/>
  <c r="CR18" i="3" s="1"/>
  <c r="CR19" i="3" s="1"/>
  <c r="CK12" i="3"/>
  <c r="DP11" i="3"/>
  <c r="DS12" i="3"/>
  <c r="DR12" i="3" s="1"/>
  <c r="CY12" i="3"/>
  <c r="DF13" i="3"/>
  <c r="DF14" i="3" s="1"/>
  <c r="DF15" i="3" s="1"/>
  <c r="DF16" i="3" s="1"/>
  <c r="DF17" i="3" s="1"/>
  <c r="DF18" i="3" s="1"/>
  <c r="DF19" i="3" s="1"/>
  <c r="EH12" i="3" l="1"/>
  <c r="EA11" i="3"/>
  <c r="CL12" i="3"/>
  <c r="CY13" i="3"/>
  <c r="DM12" i="3"/>
  <c r="DT13" i="3"/>
  <c r="DT14" i="3" s="1"/>
  <c r="DT15" i="3" s="1"/>
  <c r="DT16" i="3" s="1"/>
  <c r="DT17" i="3" s="1"/>
  <c r="DT18" i="3" s="1"/>
  <c r="DT19" i="3" s="1"/>
  <c r="DP12" i="3"/>
  <c r="DS13" i="3"/>
  <c r="DR13" i="3" s="1"/>
  <c r="FK3" i="3"/>
  <c r="FH9" i="3"/>
  <c r="FY2" i="3"/>
  <c r="CK13" i="3"/>
  <c r="CQ14" i="3"/>
  <c r="CP14" i="3" s="1"/>
  <c r="CN13" i="3"/>
  <c r="EG12" i="3"/>
  <c r="EF12" i="3" s="1"/>
  <c r="ED11" i="3"/>
  <c r="CZ12" i="3"/>
  <c r="EV11" i="3"/>
  <c r="ET11" i="3"/>
  <c r="DE14" i="3"/>
  <c r="DD14" i="3" s="1"/>
  <c r="DB13" i="3"/>
  <c r="CN14" i="3" l="1"/>
  <c r="CQ15" i="3"/>
  <c r="CP15" i="3" s="1"/>
  <c r="EU12" i="3"/>
  <c r="ET12" i="3" s="1"/>
  <c r="ER11" i="3"/>
  <c r="DM13" i="3"/>
  <c r="DE15" i="3"/>
  <c r="DD15" i="3" s="1"/>
  <c r="DB14" i="3"/>
  <c r="CK14" i="3"/>
  <c r="FV9" i="3"/>
  <c r="FY3" i="3"/>
  <c r="GM2" i="3"/>
  <c r="CZ13" i="3"/>
  <c r="CL13" i="3"/>
  <c r="DS14" i="3"/>
  <c r="DR14" i="3" s="1"/>
  <c r="DP13" i="3"/>
  <c r="EO11" i="3"/>
  <c r="EV12" i="3"/>
  <c r="CY14" i="3"/>
  <c r="FJ11" i="3"/>
  <c r="FH11" i="3"/>
  <c r="ED12" i="3"/>
  <c r="EG13" i="3"/>
  <c r="EF13" i="3" s="1"/>
  <c r="DN12" i="3"/>
  <c r="EA12" i="3"/>
  <c r="EH13" i="3"/>
  <c r="EH14" i="3" s="1"/>
  <c r="EH15" i="3" s="1"/>
  <c r="EH16" i="3" s="1"/>
  <c r="EH17" i="3" s="1"/>
  <c r="EH18" i="3" s="1"/>
  <c r="EH19" i="3" s="1"/>
  <c r="CL14" i="3" l="1"/>
  <c r="CZ14" i="3"/>
  <c r="DM14" i="3"/>
  <c r="CY15" i="3"/>
  <c r="EA13" i="3"/>
  <c r="FC11" i="3"/>
  <c r="FJ12" i="3"/>
  <c r="DE16" i="3"/>
  <c r="DD16" i="3" s="1"/>
  <c r="DB15" i="3"/>
  <c r="DN13" i="3"/>
  <c r="CN15" i="3"/>
  <c r="CQ16" i="3"/>
  <c r="CP16" i="3" s="1"/>
  <c r="GJ9" i="3"/>
  <c r="GM3" i="3"/>
  <c r="HA2" i="3"/>
  <c r="HI2" i="3" s="1"/>
  <c r="B13" i="1" s="1"/>
  <c r="Q27" i="1" s="1"/>
  <c r="EU13" i="3"/>
  <c r="ET13" i="3" s="1"/>
  <c r="ER12" i="3"/>
  <c r="DP14" i="3"/>
  <c r="DS15" i="3"/>
  <c r="DR15" i="3" s="1"/>
  <c r="CK15" i="3"/>
  <c r="EO12" i="3"/>
  <c r="EV13" i="3"/>
  <c r="EV14" i="3" s="1"/>
  <c r="EV15" i="3" s="1"/>
  <c r="EV16" i="3" s="1"/>
  <c r="EV17" i="3" s="1"/>
  <c r="EV18" i="3" s="1"/>
  <c r="EV19" i="3" s="1"/>
  <c r="EG14" i="3"/>
  <c r="EF14" i="3" s="1"/>
  <c r="ED13" i="3"/>
  <c r="FV11" i="3"/>
  <c r="FX11" i="3"/>
  <c r="EB12" i="3"/>
  <c r="FF11" i="3"/>
  <c r="FI12" i="3"/>
  <c r="FH12" i="3" s="1"/>
  <c r="CL15" i="3" l="1"/>
  <c r="B22" i="1"/>
  <c r="CY16" i="3"/>
  <c r="CZ15" i="3"/>
  <c r="CK16" i="3"/>
  <c r="B23" i="1"/>
  <c r="U2" i="3"/>
  <c r="O1" i="3"/>
  <c r="C16" i="1"/>
  <c r="G23" i="1"/>
  <c r="D15" i="1"/>
  <c r="D23" i="1"/>
  <c r="B14" i="1"/>
  <c r="R27" i="1" s="1"/>
  <c r="D12" i="1"/>
  <c r="FX12" i="3"/>
  <c r="FQ11" i="3"/>
  <c r="FW12" i="3"/>
  <c r="FV12" i="3" s="1"/>
  <c r="FT11" i="3"/>
  <c r="DP15" i="3"/>
  <c r="DS16" i="3"/>
  <c r="DR16" i="3" s="1"/>
  <c r="CN16" i="3"/>
  <c r="CQ17" i="3"/>
  <c r="CP17" i="3" s="1"/>
  <c r="GL11" i="3"/>
  <c r="GJ11" i="3"/>
  <c r="DE17" i="3"/>
  <c r="DD17" i="3" s="1"/>
  <c r="DB16" i="3"/>
  <c r="ER13" i="3"/>
  <c r="EU14" i="3"/>
  <c r="ET14" i="3" s="1"/>
  <c r="DN14" i="3"/>
  <c r="ED14" i="3"/>
  <c r="EG15" i="3"/>
  <c r="EF15" i="3" s="1"/>
  <c r="FC12" i="3"/>
  <c r="FJ13" i="3"/>
  <c r="FJ14" i="3" s="1"/>
  <c r="FJ15" i="3" s="1"/>
  <c r="FJ16" i="3" s="1"/>
  <c r="FJ17" i="3" s="1"/>
  <c r="FJ18" i="3" s="1"/>
  <c r="FJ19" i="3" s="1"/>
  <c r="EO13" i="3"/>
  <c r="HA3" i="3"/>
  <c r="GX9" i="3"/>
  <c r="EA14" i="3"/>
  <c r="EB13" i="3"/>
  <c r="EP12" i="3"/>
  <c r="FI13" i="3"/>
  <c r="FH13" i="3" s="1"/>
  <c r="FF12" i="3"/>
  <c r="DM15" i="3"/>
  <c r="A21" i="1" l="1"/>
  <c r="CK17" i="3"/>
  <c r="C22" i="1"/>
  <c r="EB14" i="3"/>
  <c r="CY17" i="3"/>
  <c r="CZ16" i="3"/>
  <c r="H23" i="1"/>
  <c r="E23" i="1"/>
  <c r="EA15" i="3"/>
  <c r="U3" i="3"/>
  <c r="U4" i="3" s="1"/>
  <c r="V2" i="3" s="1"/>
  <c r="H18" i="1"/>
  <c r="H19" i="1" s="1"/>
  <c r="N19" i="1"/>
  <c r="D18" i="1"/>
  <c r="F18" i="1" s="1"/>
  <c r="D13" i="1"/>
  <c r="FI14" i="3"/>
  <c r="FH14" i="3" s="1"/>
  <c r="FF13" i="3"/>
  <c r="GL12" i="3"/>
  <c r="GE11" i="3"/>
  <c r="GZ11" i="3"/>
  <c r="GX11" i="3"/>
  <c r="CN17" i="3"/>
  <c r="CQ18" i="3"/>
  <c r="CP18" i="3" s="1"/>
  <c r="FQ12" i="3"/>
  <c r="FX13" i="3"/>
  <c r="FX14" i="3" s="1"/>
  <c r="FX15" i="3" s="1"/>
  <c r="FX16" i="3" s="1"/>
  <c r="FX17" i="3" s="1"/>
  <c r="FX18" i="3" s="1"/>
  <c r="FX19" i="3" s="1"/>
  <c r="ER14" i="3"/>
  <c r="EU15" i="3"/>
  <c r="ET15" i="3" s="1"/>
  <c r="EO14" i="3"/>
  <c r="DM16" i="3"/>
  <c r="FC13" i="3"/>
  <c r="DE18" i="3"/>
  <c r="DD18" i="3" s="1"/>
  <c r="DB17" i="3"/>
  <c r="FW13" i="3"/>
  <c r="FV13" i="3" s="1"/>
  <c r="FT12" i="3"/>
  <c r="EP13" i="3"/>
  <c r="DN15" i="3"/>
  <c r="DS17" i="3"/>
  <c r="DR17" i="3" s="1"/>
  <c r="DP16" i="3"/>
  <c r="FD12" i="3"/>
  <c r="ED15" i="3"/>
  <c r="EG16" i="3"/>
  <c r="EF16" i="3" s="1"/>
  <c r="GH11" i="3"/>
  <c r="GK12" i="3"/>
  <c r="GJ12" i="3" s="1"/>
  <c r="CL16" i="3"/>
  <c r="N20" i="1" l="1"/>
  <c r="R23" i="1" s="1"/>
  <c r="Q23" i="1"/>
  <c r="C21" i="1"/>
  <c r="AC73" i="1" s="1"/>
  <c r="H20" i="1"/>
  <c r="H21" i="1" s="1"/>
  <c r="CY18" i="3"/>
  <c r="EB15" i="3"/>
  <c r="CZ17" i="3"/>
  <c r="EA16" i="3"/>
  <c r="S9" i="3"/>
  <c r="V3" i="3"/>
  <c r="W2" i="3"/>
  <c r="I20" i="1"/>
  <c r="I19" i="1"/>
  <c r="DM17" i="3"/>
  <c r="B17" i="1"/>
  <c r="E21" i="1" s="1"/>
  <c r="B16" i="1"/>
  <c r="D21" i="1" s="1"/>
  <c r="EP14" i="3"/>
  <c r="CL17" i="3"/>
  <c r="GH12" i="3"/>
  <c r="GK13" i="3"/>
  <c r="GJ13" i="3" s="1"/>
  <c r="EU16" i="3"/>
  <c r="ET16" i="3" s="1"/>
  <c r="ER15" i="3"/>
  <c r="GS11" i="3"/>
  <c r="GZ12" i="3"/>
  <c r="FD13" i="3"/>
  <c r="FQ13" i="3"/>
  <c r="CQ19" i="3"/>
  <c r="CP19" i="3" s="1"/>
  <c r="CN19" i="3" s="1"/>
  <c r="CN18" i="3"/>
  <c r="DP17" i="3"/>
  <c r="DS18" i="3"/>
  <c r="DR18" i="3" s="1"/>
  <c r="DB18" i="3"/>
  <c r="DE19" i="3"/>
  <c r="DD19" i="3" s="1"/>
  <c r="DB19" i="3" s="1"/>
  <c r="EO15" i="3"/>
  <c r="GE12" i="3"/>
  <c r="GL13" i="3"/>
  <c r="GL14" i="3" s="1"/>
  <c r="GL15" i="3" s="1"/>
  <c r="GL16" i="3" s="1"/>
  <c r="GL17" i="3" s="1"/>
  <c r="GL18" i="3" s="1"/>
  <c r="GL19" i="3" s="1"/>
  <c r="EG17" i="3"/>
  <c r="EF17" i="3" s="1"/>
  <c r="ED16" i="3"/>
  <c r="FC14" i="3"/>
  <c r="CK18" i="3"/>
  <c r="FR12" i="3"/>
  <c r="FT13" i="3"/>
  <c r="FW14" i="3"/>
  <c r="FV14" i="3" s="1"/>
  <c r="FF14" i="3"/>
  <c r="FI15" i="3"/>
  <c r="FH15" i="3" s="1"/>
  <c r="DN16" i="3"/>
  <c r="GY12" i="3"/>
  <c r="GX12" i="3" s="1"/>
  <c r="GV11" i="3"/>
  <c r="G20" i="1" l="1"/>
  <c r="G21" i="1" s="1"/>
  <c r="Q24" i="1" s="1"/>
  <c r="Q25" i="1" s="1"/>
  <c r="B21" i="1"/>
  <c r="AB32" i="1" s="1"/>
  <c r="H24" i="1"/>
  <c r="H27" i="1" s="1"/>
  <c r="R24" i="1"/>
  <c r="R25" i="1" s="1"/>
  <c r="EB16" i="3"/>
  <c r="AC31" i="1"/>
  <c r="AC52" i="1"/>
  <c r="AC63" i="1"/>
  <c r="AC34" i="1"/>
  <c r="AC66" i="1"/>
  <c r="AC55" i="1"/>
  <c r="AC24" i="1"/>
  <c r="AC23" i="1"/>
  <c r="AC68" i="1"/>
  <c r="AC53" i="1"/>
  <c r="AC39" i="1"/>
  <c r="AC58" i="1"/>
  <c r="AC72" i="1"/>
  <c r="AC30" i="1"/>
  <c r="AC43" i="1"/>
  <c r="AC49" i="1"/>
  <c r="AC70" i="1"/>
  <c r="AC32" i="1"/>
  <c r="AC35" i="1"/>
  <c r="AC26" i="1"/>
  <c r="AC45" i="1"/>
  <c r="AC51" i="1"/>
  <c r="AC62" i="1"/>
  <c r="AC60" i="1"/>
  <c r="AC38" i="1"/>
  <c r="AC67" i="1"/>
  <c r="AC25" i="1"/>
  <c r="AC57" i="1"/>
  <c r="AB58" i="1"/>
  <c r="AC42" i="1"/>
  <c r="AC40" i="1"/>
  <c r="AC47" i="1"/>
  <c r="AC29" i="1"/>
  <c r="AC61" i="1"/>
  <c r="AC46" i="1"/>
  <c r="AC48" i="1"/>
  <c r="AC59" i="1"/>
  <c r="AC28" i="1"/>
  <c r="AC33" i="1"/>
  <c r="AC65" i="1"/>
  <c r="AC50" i="1"/>
  <c r="AC56" i="1"/>
  <c r="AC71" i="1"/>
  <c r="AC36" i="1"/>
  <c r="AC37" i="1"/>
  <c r="AC69" i="1"/>
  <c r="AC27" i="1"/>
  <c r="AC54" i="1"/>
  <c r="AC64" i="1"/>
  <c r="AC44" i="1"/>
  <c r="AC41" i="1"/>
  <c r="DB23" i="3"/>
  <c r="CZ18" i="3"/>
  <c r="CZ19" i="3" s="1"/>
  <c r="CZ23" i="3" s="1"/>
  <c r="CZ24" i="3" s="1"/>
  <c r="CZ25" i="3" s="1"/>
  <c r="EO16" i="3"/>
  <c r="DM18" i="3"/>
  <c r="CL18" i="3"/>
  <c r="CL19" i="3" s="1"/>
  <c r="CL23" i="3" s="1"/>
  <c r="CL24" i="3" s="1"/>
  <c r="CL25" i="3" s="1"/>
  <c r="D25" i="1"/>
  <c r="D26" i="1"/>
  <c r="FQ14" i="3"/>
  <c r="E25" i="1"/>
  <c r="E26" i="1"/>
  <c r="D24" i="1"/>
  <c r="D27" i="1" s="1"/>
  <c r="CK19" i="3"/>
  <c r="CK20" i="3" s="1"/>
  <c r="CK23" i="3" s="1"/>
  <c r="EP15" i="3"/>
  <c r="H25" i="1"/>
  <c r="H26" i="1"/>
  <c r="E24" i="1"/>
  <c r="E27" i="1" s="1"/>
  <c r="U11" i="3"/>
  <c r="S11" i="3"/>
  <c r="GV12" i="3"/>
  <c r="GY13" i="3"/>
  <c r="GX13" i="3" s="1"/>
  <c r="FR13" i="3"/>
  <c r="GF12" i="3"/>
  <c r="GE13" i="3"/>
  <c r="CN23" i="3"/>
  <c r="FD14" i="3"/>
  <c r="FF15" i="3"/>
  <c r="FI16" i="3"/>
  <c r="FH16" i="3" s="1"/>
  <c r="EG18" i="3"/>
  <c r="EF18" i="3" s="1"/>
  <c r="ED17" i="3"/>
  <c r="ER16" i="3"/>
  <c r="EU17" i="3"/>
  <c r="ET17" i="3" s="1"/>
  <c r="EA17" i="3"/>
  <c r="GZ13" i="3"/>
  <c r="GZ14" i="3" s="1"/>
  <c r="GZ15" i="3" s="1"/>
  <c r="GZ16" i="3" s="1"/>
  <c r="GZ17" i="3" s="1"/>
  <c r="GZ18" i="3" s="1"/>
  <c r="GZ19" i="3" s="1"/>
  <c r="GS12" i="3"/>
  <c r="DP18" i="3"/>
  <c r="DS19" i="3"/>
  <c r="DR19" i="3" s="1"/>
  <c r="DP19" i="3" s="1"/>
  <c r="DN17" i="3"/>
  <c r="FC15" i="3"/>
  <c r="FW15" i="3"/>
  <c r="FV15" i="3" s="1"/>
  <c r="FT14" i="3"/>
  <c r="CY19" i="3"/>
  <c r="CY20" i="3" s="1"/>
  <c r="CY23" i="3" s="1"/>
  <c r="GH13" i="3"/>
  <c r="GK14" i="3"/>
  <c r="GJ14" i="3" s="1"/>
  <c r="AB36" i="1" l="1"/>
  <c r="G24" i="1"/>
  <c r="G27" i="1" s="1"/>
  <c r="G26" i="1"/>
  <c r="AB44" i="1"/>
  <c r="AB34" i="1"/>
  <c r="AB60" i="1"/>
  <c r="AB25" i="1"/>
  <c r="AB72" i="1"/>
  <c r="AB53" i="1"/>
  <c r="AB63" i="1"/>
  <c r="AB38" i="1"/>
  <c r="G25" i="1"/>
  <c r="AB39" i="1"/>
  <c r="AB73" i="1"/>
  <c r="AB54" i="1"/>
  <c r="AB40" i="1"/>
  <c r="AB51" i="1"/>
  <c r="AB43" i="1"/>
  <c r="AB69" i="1"/>
  <c r="AB35" i="1"/>
  <c r="AB50" i="1"/>
  <c r="AB27" i="1"/>
  <c r="AB62" i="1"/>
  <c r="AB31" i="1"/>
  <c r="AB48" i="1"/>
  <c r="AB23" i="1"/>
  <c r="AB52" i="1"/>
  <c r="AB71" i="1"/>
  <c r="AB33" i="1"/>
  <c r="AB67" i="1"/>
  <c r="AB70" i="1"/>
  <c r="AB45" i="1"/>
  <c r="AB59" i="1"/>
  <c r="AB24" i="1"/>
  <c r="AB37" i="1"/>
  <c r="AB61" i="1"/>
  <c r="AB46" i="1"/>
  <c r="AB66" i="1"/>
  <c r="AB41" i="1"/>
  <c r="AB26" i="1"/>
  <c r="AB47" i="1"/>
  <c r="AB57" i="1"/>
  <c r="AB56" i="1"/>
  <c r="AB64" i="1"/>
  <c r="AB49" i="1"/>
  <c r="AB55" i="1"/>
  <c r="AB30" i="1"/>
  <c r="AB28" i="1"/>
  <c r="AB65" i="1"/>
  <c r="AB29" i="1"/>
  <c r="AB68" i="1"/>
  <c r="AB42" i="1"/>
  <c r="R30" i="1"/>
  <c r="R29" i="1"/>
  <c r="Q28" i="1"/>
  <c r="Q31" i="1" s="1"/>
  <c r="Q30" i="1"/>
  <c r="Q29" i="1"/>
  <c r="R28" i="1"/>
  <c r="R31" i="1" s="1"/>
  <c r="EB17" i="3"/>
  <c r="EO17" i="3"/>
  <c r="DP23" i="3"/>
  <c r="DL23" i="3"/>
  <c r="DJ23" i="3" s="1"/>
  <c r="EP16" i="3"/>
  <c r="FQ15" i="3"/>
  <c r="DN18" i="3"/>
  <c r="CX23" i="3"/>
  <c r="CV23" i="3" s="1"/>
  <c r="U12" i="3"/>
  <c r="N11" i="3"/>
  <c r="FC16" i="3"/>
  <c r="GE14" i="3"/>
  <c r="T12" i="3"/>
  <c r="S12" i="3" s="1"/>
  <c r="R11" i="3"/>
  <c r="Q11" i="3"/>
  <c r="GK15" i="3"/>
  <c r="GJ15" i="3" s="1"/>
  <c r="GH14" i="3"/>
  <c r="EG19" i="3"/>
  <c r="EF19" i="3" s="1"/>
  <c r="ED19" i="3" s="1"/>
  <c r="ED18" i="3"/>
  <c r="GT12" i="3"/>
  <c r="FT15" i="3"/>
  <c r="FW16" i="3"/>
  <c r="FV16" i="3" s="1"/>
  <c r="DM19" i="3"/>
  <c r="DM20" i="3" s="1"/>
  <c r="DM23" i="3" s="1"/>
  <c r="GF13" i="3"/>
  <c r="ER17" i="3"/>
  <c r="EU18" i="3"/>
  <c r="ET18" i="3" s="1"/>
  <c r="FR14" i="3"/>
  <c r="GS13" i="3"/>
  <c r="FF16" i="3"/>
  <c r="FI17" i="3"/>
  <c r="FH17" i="3" s="1"/>
  <c r="EA18" i="3"/>
  <c r="FD15" i="3"/>
  <c r="GV13" i="3"/>
  <c r="GY14" i="3"/>
  <c r="GX14" i="3" s="1"/>
  <c r="Q28" i="3"/>
  <c r="EB18" i="3" l="1"/>
  <c r="EB19" i="3" s="1"/>
  <c r="EB23" i="3" s="1"/>
  <c r="EB24" i="3" s="1"/>
  <c r="EB25" i="3" s="1"/>
  <c r="FQ16" i="3"/>
  <c r="EP17" i="3"/>
  <c r="GE15" i="3"/>
  <c r="DN19" i="3"/>
  <c r="DN23" i="3" s="1"/>
  <c r="DN24" i="3" s="1"/>
  <c r="DN25" i="3" s="1"/>
  <c r="DZ23" i="3" s="1"/>
  <c r="DX23" i="3" s="1"/>
  <c r="GF14" i="3"/>
  <c r="U13" i="3"/>
  <c r="R12" i="3"/>
  <c r="N12" i="3"/>
  <c r="Q12" i="3"/>
  <c r="T13" i="3"/>
  <c r="S13" i="3" s="1"/>
  <c r="FF17" i="3"/>
  <c r="FI18" i="3"/>
  <c r="FH18" i="3" s="1"/>
  <c r="FT16" i="3"/>
  <c r="FW17" i="3"/>
  <c r="FV17" i="3" s="1"/>
  <c r="GK16" i="3"/>
  <c r="GJ16" i="3" s="1"/>
  <c r="GH15" i="3"/>
  <c r="EA19" i="3"/>
  <c r="GT13" i="3"/>
  <c r="GS14" i="3"/>
  <c r="ED23" i="3"/>
  <c r="GV14" i="3"/>
  <c r="GY15" i="3"/>
  <c r="GX15" i="3" s="1"/>
  <c r="FC17" i="3"/>
  <c r="FR15" i="3"/>
  <c r="FD16" i="3"/>
  <c r="ER18" i="3"/>
  <c r="EU19" i="3"/>
  <c r="ET19" i="3" s="1"/>
  <c r="ER19" i="3" s="1"/>
  <c r="EO18" i="3"/>
  <c r="ER23" i="3" l="1"/>
  <c r="FQ17" i="3"/>
  <c r="EP18" i="3"/>
  <c r="EP19" i="3" s="1"/>
  <c r="EP23" i="3" s="1"/>
  <c r="EP24" i="3" s="1"/>
  <c r="EP25" i="3" s="1"/>
  <c r="GE16" i="3"/>
  <c r="GF15" i="3"/>
  <c r="GT14" i="3"/>
  <c r="Q13" i="3"/>
  <c r="T14" i="3"/>
  <c r="S14" i="3" s="1"/>
  <c r="FR16" i="3"/>
  <c r="N13" i="3"/>
  <c r="EO19" i="3"/>
  <c r="EO20" i="3" s="1"/>
  <c r="EO23" i="3" s="1"/>
  <c r="R13" i="3"/>
  <c r="U14" i="3"/>
  <c r="FI19" i="3"/>
  <c r="FH19" i="3" s="1"/>
  <c r="FF19" i="3" s="1"/>
  <c r="FF18" i="3"/>
  <c r="EA20" i="3"/>
  <c r="EA23" i="3" s="1"/>
  <c r="EN23" i="3" s="1"/>
  <c r="EL23" i="3" s="1"/>
  <c r="GS15" i="3"/>
  <c r="FC18" i="3"/>
  <c r="GH16" i="3"/>
  <c r="GK17" i="3"/>
  <c r="GJ17" i="3" s="1"/>
  <c r="GY16" i="3"/>
  <c r="GX16" i="3" s="1"/>
  <c r="GV15" i="3"/>
  <c r="FD17" i="3"/>
  <c r="FT17" i="3"/>
  <c r="FW18" i="3"/>
  <c r="FV18" i="3" s="1"/>
  <c r="GT15" i="3" l="1"/>
  <c r="GE17" i="3"/>
  <c r="GF16" i="3"/>
  <c r="FD18" i="3"/>
  <c r="FD19" i="3" s="1"/>
  <c r="FD23" i="3" s="1"/>
  <c r="FD24" i="3" s="1"/>
  <c r="FD25" i="3" s="1"/>
  <c r="N14" i="3"/>
  <c r="FR17" i="3"/>
  <c r="FB23" i="3"/>
  <c r="EZ23" i="3" s="1"/>
  <c r="R14" i="3"/>
  <c r="U15" i="3"/>
  <c r="FF23" i="3"/>
  <c r="Q14" i="3"/>
  <c r="T15" i="3"/>
  <c r="S15" i="3" s="1"/>
  <c r="GY17" i="3"/>
  <c r="GX17" i="3" s="1"/>
  <c r="GV16" i="3"/>
  <c r="GS16" i="3"/>
  <c r="FT18" i="3"/>
  <c r="FW19" i="3"/>
  <c r="FV19" i="3" s="1"/>
  <c r="FT19" i="3" s="1"/>
  <c r="GH17" i="3"/>
  <c r="GK18" i="3"/>
  <c r="GJ18" i="3" s="1"/>
  <c r="FC19" i="3"/>
  <c r="FC20" i="3" s="1"/>
  <c r="FC23" i="3" s="1"/>
  <c r="FQ18" i="3"/>
  <c r="GT16" i="3" l="1"/>
  <c r="GE18" i="3"/>
  <c r="FR18" i="3"/>
  <c r="FR19" i="3" s="1"/>
  <c r="FR23" i="3" s="1"/>
  <c r="FR24" i="3" s="1"/>
  <c r="FR25" i="3" s="1"/>
  <c r="GF17" i="3"/>
  <c r="N15" i="3"/>
  <c r="FT23" i="3"/>
  <c r="T16" i="3"/>
  <c r="S16" i="3" s="1"/>
  <c r="Q15" i="3"/>
  <c r="U16" i="3"/>
  <c r="R15" i="3"/>
  <c r="GY18" i="3"/>
  <c r="GX18" i="3" s="1"/>
  <c r="GV17" i="3"/>
  <c r="FQ19" i="3"/>
  <c r="FQ20" i="3" s="1"/>
  <c r="FP23" i="3"/>
  <c r="FN23" i="3" s="1"/>
  <c r="GS17" i="3"/>
  <c r="GH18" i="3"/>
  <c r="GK19" i="3"/>
  <c r="GJ19" i="3" s="1"/>
  <c r="GH19" i="3" s="1"/>
  <c r="GF18" i="3" l="1"/>
  <c r="GF19" i="3" s="1"/>
  <c r="GF23" i="3" s="1"/>
  <c r="GF24" i="3" s="1"/>
  <c r="GF25" i="3" s="1"/>
  <c r="GH23" i="3"/>
  <c r="N16" i="3"/>
  <c r="R16" i="3"/>
  <c r="U17" i="3"/>
  <c r="Q16" i="3"/>
  <c r="T17" i="3"/>
  <c r="S17" i="3" s="1"/>
  <c r="GS18" i="3"/>
  <c r="GE19" i="3"/>
  <c r="GE20" i="3" s="1"/>
  <c r="GE23" i="3" s="1"/>
  <c r="GV18" i="3"/>
  <c r="GY19" i="3"/>
  <c r="GX19" i="3" s="1"/>
  <c r="GV19" i="3" s="1"/>
  <c r="FQ23" i="3"/>
  <c r="GD23" i="3" s="1"/>
  <c r="GB23" i="3" s="1"/>
  <c r="GT17" i="3"/>
  <c r="GV23" i="3" l="1"/>
  <c r="Q17" i="3"/>
  <c r="T18" i="3"/>
  <c r="S18" i="3" s="1"/>
  <c r="GS19" i="3"/>
  <c r="GS20" i="3" s="1"/>
  <c r="R17" i="3"/>
  <c r="U18" i="3"/>
  <c r="GR23" i="3"/>
  <c r="GP23" i="3" s="1"/>
  <c r="N17" i="3"/>
  <c r="GT18" i="3"/>
  <c r="GT19" i="3" s="1"/>
  <c r="GT23" i="3" s="1"/>
  <c r="GT24" i="3" s="1"/>
  <c r="GT25" i="3" s="1"/>
  <c r="U19" i="3" l="1"/>
  <c r="R19" i="3" s="1"/>
  <c r="R18" i="3"/>
  <c r="GS23" i="3"/>
  <c r="HF23" i="3" s="1"/>
  <c r="HD23" i="3" s="1"/>
  <c r="N18" i="3"/>
  <c r="T19" i="3"/>
  <c r="S19" i="3" s="1"/>
  <c r="Q19" i="3" s="1"/>
  <c r="Q18" i="3"/>
  <c r="Q23" i="3" l="1"/>
  <c r="N19" i="3"/>
  <c r="N20" i="3" s="1"/>
  <c r="N23" i="3" s="1"/>
  <c r="AA23" i="3" l="1"/>
</calcChain>
</file>

<file path=xl/sharedStrings.xml><?xml version="1.0" encoding="utf-8"?>
<sst xmlns="http://schemas.openxmlformats.org/spreadsheetml/2006/main" count="438" uniqueCount="191">
  <si>
    <t>Sinusoida curve and curvature</t>
  </si>
  <si>
    <t>lamda</t>
  </si>
  <si>
    <t>kapa</t>
  </si>
  <si>
    <t>v0</t>
  </si>
  <si>
    <t>accelaration</t>
  </si>
  <si>
    <t>x</t>
  </si>
  <si>
    <t>Maxy</t>
  </si>
  <si>
    <t>y</t>
  </si>
  <si>
    <t>u</t>
  </si>
  <si>
    <t>M</t>
  </si>
  <si>
    <t>m'</t>
  </si>
  <si>
    <t>A</t>
  </si>
  <si>
    <t>B</t>
  </si>
  <si>
    <t>c</t>
  </si>
  <si>
    <t>Φ</t>
  </si>
  <si>
    <t>scn</t>
  </si>
  <si>
    <t>.0</t>
  </si>
  <si>
    <t>&gt;0</t>
  </si>
  <si>
    <t>K</t>
  </si>
  <si>
    <t>Z</t>
  </si>
  <si>
    <t>F(φ,k)</t>
  </si>
  <si>
    <t>φ</t>
  </si>
  <si>
    <t>atan(an/bn*tan(φn))</t>
  </si>
  <si>
    <t>a0</t>
  </si>
  <si>
    <t>b</t>
  </si>
  <si>
    <t>arxikigon</t>
  </si>
  <si>
    <t>Z(φ,k)</t>
  </si>
  <si>
    <t>E(φ,k)</t>
  </si>
  <si>
    <t>E(K)</t>
  </si>
  <si>
    <t>K(k)</t>
  </si>
  <si>
    <t>t</t>
  </si>
  <si>
    <t>dt</t>
  </si>
  <si>
    <t>s</t>
  </si>
  <si>
    <t>Function antieLLE2(xa, ak, eplirous)</t>
  </si>
  <si>
    <t>S11 = xa</t>
  </si>
  <si>
    <t>Pi = CDbl(4 * Atn(1))</t>
  </si>
  <si>
    <t>n11 = Int(S11 / eplirous)</t>
  </si>
  <si>
    <t>x1 = Pi / 4 + Pi / 2 * n11:</t>
  </si>
  <si>
    <t>deltax123 = Pi / 20</t>
  </si>
  <si>
    <t>If Abs(deltax123) &lt; 0.0000000001 Then</t>
  </si>
  <si>
    <t>antieLLE2 = x1</t>
  </si>
  <si>
    <t>Exit Function</t>
  </si>
  <si>
    <t>End If</t>
  </si>
  <si>
    <t>asdf = elle2(x1, ak)</t>
  </si>
  <si>
    <t>If S11 &gt; asdf Then</t>
  </si>
  <si>
    <t>xero1 = 1</t>
  </si>
  <si>
    <t>Else</t>
  </si>
  <si>
    <t>xero1 = -1</t>
  </si>
  <si>
    <t>metritis = 1</t>
  </si>
  <si>
    <t>While Abs(S11 - asdf) &gt; 0.0001</t>
  </si>
  <si>
    <t>xana:</t>
  </si>
  <si>
    <t>x1 = x1 + deltax123</t>
  </si>
  <si>
    <t>x1 = x1 - deltax123</t>
  </si>
  <si>
    <t>If S11 &gt; asdf And xero1 &gt; 0 Then</t>
  </si>
  <si>
    <t>GoTo xana</t>
  </si>
  <si>
    <t>ElseIf S11 &lt; asdf And xero1 &gt; 0 Then</t>
  </si>
  <si>
    <t>deltax123 = deltax123 / 2</t>
  </si>
  <si>
    <t>If Abs(deltax123) &lt; 0.00000000001 Then</t>
  </si>
  <si>
    <t>ElseIf S11 &lt; asdf And xero1 &lt; 0 Then</t>
  </si>
  <si>
    <t>ElseIf S11 &gt; asdf And xero1 &lt; 0 Then</t>
  </si>
  <si>
    <t>metritis = metritis + 1</t>
  </si>
  <si>
    <t>If metritis &gt; 10 Then GoTo exoloop</t>
  </si>
  <si>
    <t>Wend</t>
  </si>
  <si>
    <t>exoloop:</t>
  </si>
  <si>
    <t>telospanton:</t>
  </si>
  <si>
    <t>End Function</t>
  </si>
  <si>
    <t>Int(s/E)</t>
  </si>
  <si>
    <t>pi/4+pi/2*n1</t>
  </si>
  <si>
    <t>deltax123</t>
  </si>
  <si>
    <t>arxikigon1</t>
  </si>
  <si>
    <t>arxikigon2</t>
  </si>
  <si>
    <t>x = phi</t>
  </si>
  <si>
    <t>Pi = 4 * Atn(1)</t>
  </si>
  <si>
    <t>If x = 0 Then</t>
  </si>
  <si>
    <t>elle2 = 0</t>
  </si>
  <si>
    <t>If x &lt;= Pi / 2 Then</t>
  </si>
  <si>
    <t>elle2 = elle(phi, ak)</t>
  </si>
  <si>
    <t>int1 = Int(x / Pi) ' äßíåé ðüóåò öïñÝò ÷ùñÜ ôï ð óôï x</t>
  </si>
  <si>
    <t>int2 = Int(2 * x / Pi) 'äßíåé ðüóåò öïñÝò ÷ùñÜ ôï ð/2 óôï ÷</t>
  </si>
  <si>
    <t>aker1 = CDbl(int1 * Pi) 'äßíåé ôï ð*int1, ïðüôå ôï õðüëïéïð x-aker1=ãùíßá ãéá ôçí ïðïßá õðïëïãßæåôáé ôï ôüîï</t>
  </si>
  <si>
    <t>aker2 = CDbl(int2 * Pi / 2)</t>
  </si>
  <si>
    <t>x1a = x - aker1 ' äßíåé ôï ðüóï ìåãáëýôåñï áðü ôï ðïëëáðëÜóéï ôïõ ð åßíáé ôï ÷</t>
  </si>
  <si>
    <t>x2a = aker1 + Pi - x 'äßíåé ôï ðáñáðëÞñùìá áðü ôï ðé</t>
  </si>
  <si>
    <t>eplires1 = elle(Pi / 2, ak) ' äßíåé ôï Å ãéá äåäïìÝíï alfa</t>
  </si>
  <si>
    <t>If int2 Mod 2 = 1 Then</t>
  </si>
  <si>
    <t>asfa1 = elle(x2a, ak)</t>
  </si>
  <si>
    <t>'MsgBox ("x = " &amp; Format(x, "0.00") &amp; "asfa1 = " &amp; Format(asfa1, "0.000") &amp; "epli = " &amp; Format(eplires1, "0.000"))</t>
  </si>
  <si>
    <t>elle2 = (int2 + 1) * eplires1 - asfa1</t>
  </si>
  <si>
    <t>ElseIf int2 Mod 2 = 0 Then</t>
  </si>
  <si>
    <t>asfa2 = elle(x1a, ak)</t>
  </si>
  <si>
    <t>elle2 = (int2) * eplires1 + asfa2</t>
  </si>
  <si>
    <t>Function elle(phi, ak)</t>
  </si>
  <si>
    <t>Dim CC, Q, S As Double</t>
  </si>
  <si>
    <t>S = Sin(phi)</t>
  </si>
  <si>
    <t>CC = Cos(phi) * Cos(phi)</t>
  </si>
  <si>
    <t>Q = (1 - S * ak) * (1 + S * ak)</t>
  </si>
  <si>
    <t>'MsgBox ("ak = " &amp; Format(ak, "0.00"))</t>
  </si>
  <si>
    <t>'MsgBox ("rf = " &amp; Format(rf(CC, Q, 1), "0.0000"))</t>
  </si>
  <si>
    <t>'MsgBox ("rd  = " &amp; Format(rd(CC, Q, 1), "0.000"))</t>
  </si>
  <si>
    <t>elle11 = S * (rf(CC, Q, 1) - (S * ak) ^ 2 * rd(CC, Q, 1) / 3)</t>
  </si>
  <si>
    <t>'MsgBox ("elle = " &amp; Format(elle11, "0.000"))</t>
  </si>
  <si>
    <t>elle = elle11</t>
  </si>
  <si>
    <t>ακέραιο μέρος δια πι</t>
  </si>
  <si>
    <t>aker1</t>
  </si>
  <si>
    <t>aker2</t>
  </si>
  <si>
    <t>intt1</t>
  </si>
  <si>
    <t>intt2</t>
  </si>
  <si>
    <t>x1a</t>
  </si>
  <si>
    <t>x2a=</t>
  </si>
  <si>
    <t>xx</t>
  </si>
  <si>
    <t>eplires1</t>
  </si>
  <si>
    <t>C</t>
  </si>
  <si>
    <t>C²</t>
  </si>
  <si>
    <t>n</t>
  </si>
  <si>
    <t>2^N*cN</t>
  </si>
  <si>
    <t>sum</t>
  </si>
  <si>
    <t>K(sin(arixikigon1/2)</t>
  </si>
  <si>
    <t>E(arxikigon1/2)</t>
  </si>
  <si>
    <t>time</t>
  </si>
  <si>
    <t>EPLIROUS</t>
  </si>
  <si>
    <t>Function elle2(phi, ak) As Double</t>
  </si>
  <si>
    <t>VX</t>
  </si>
  <si>
    <t>VY</t>
  </si>
  <si>
    <t>vx</t>
  </si>
  <si>
    <t>vy</t>
  </si>
  <si>
    <t>Dy/dx</t>
  </si>
  <si>
    <t>angleof V</t>
  </si>
  <si>
    <t>d²y/dx²</t>
  </si>
  <si>
    <t>Ρ</t>
  </si>
  <si>
    <t>centripetl</t>
  </si>
  <si>
    <t>akx</t>
  </si>
  <si>
    <t>=-1/dy/dx</t>
  </si>
  <si>
    <t>φ vertical</t>
  </si>
  <si>
    <t>aky</t>
  </si>
  <si>
    <t>synim = 1 / Sqr(1 + paragogos ^ 2)</t>
  </si>
  <si>
    <t>hmiton = paragogos * synim</t>
  </si>
  <si>
    <t>antiakt = 0</t>
  </si>
  <si>
    <t>diastimata(EPanaLAMvano) = S11aA - diastimata(EPanaLAMvano - 1)</t>
  </si>
  <si>
    <t>KENTROMOLOS = taxstigmis ^ 2 * antiakt</t>
  </si>
  <si>
    <t>kentrx = -KENTROMOLOS * hmiton / 2: kentry = KENTROMOLOS * synim / 2</t>
  </si>
  <si>
    <t>kapaelliptic</t>
  </si>
  <si>
    <t>polepsilon</t>
  </si>
  <si>
    <t>s/sqrt(1+b^2K^2)</t>
  </si>
  <si>
    <t>Int(L1/E)</t>
  </si>
  <si>
    <t>k=</t>
  </si>
  <si>
    <t>α</t>
  </si>
  <si>
    <t>α0</t>
  </si>
  <si>
    <t>E(k)</t>
  </si>
  <si>
    <t>DELTAX</t>
  </si>
  <si>
    <t>S'/AK</t>
  </si>
  <si>
    <t>S''/AK</t>
  </si>
  <si>
    <t>ΑΡΙΘΜΌΣ ΠΛΉΡΩΝ Ε</t>
  </si>
  <si>
    <t>Sarxiko</t>
  </si>
  <si>
    <t>S me diorthos</t>
  </si>
  <si>
    <t>SDOKIMI2</t>
  </si>
  <si>
    <t>DELTAX2</t>
  </si>
  <si>
    <t>DELTAX3</t>
  </si>
  <si>
    <t>DELTAX4</t>
  </si>
  <si>
    <t>SDOKIMI3</t>
  </si>
  <si>
    <t>180/Ν</t>
  </si>
  <si>
    <t>ΠΡΟΧΩΡΗΜΑ Ν=</t>
  </si>
  <si>
    <t>φ αρχική</t>
  </si>
  <si>
    <t>φ1</t>
  </si>
  <si>
    <t>φ2</t>
  </si>
  <si>
    <t>φ3</t>
  </si>
  <si>
    <t>DELTAX5</t>
  </si>
  <si>
    <t>φ4</t>
  </si>
  <si>
    <t>DELTAX6</t>
  </si>
  <si>
    <t>φ5</t>
  </si>
  <si>
    <t>DELTAX7</t>
  </si>
  <si>
    <t>DELTAX8</t>
  </si>
  <si>
    <t>DELTAX9</t>
  </si>
  <si>
    <t>DELTAX10</t>
  </si>
  <si>
    <t>φ6</t>
  </si>
  <si>
    <t>φ7</t>
  </si>
  <si>
    <t>φ8</t>
  </si>
  <si>
    <t>φ9</t>
  </si>
  <si>
    <t>φ10</t>
  </si>
  <si>
    <t>φ11</t>
  </si>
  <si>
    <t>Maximum y</t>
  </si>
  <si>
    <t>rx</t>
  </si>
  <si>
    <t>ry</t>
  </si>
  <si>
    <t>circle of curvaute</t>
  </si>
  <si>
    <t>r</t>
  </si>
  <si>
    <t>f</t>
  </si>
  <si>
    <t>s  current</t>
  </si>
  <si>
    <t>x  current</t>
  </si>
  <si>
    <t>Y current</t>
  </si>
  <si>
    <t>v curretn</t>
  </si>
  <si>
    <t>total acceleration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</si>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</sst>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1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4"/>
      <color theme="1"/>
      <name val="Calibri"/>
      <family val="2"/>
      <charset val="161"/>
      <scheme val="minor"/>
    </font>
    <font>
      <sz val="20"/>
      <name val="Arial"/>
      <family val="2"/>
      <charset val="161"/>
    </font>
    <font>
      <sz val="16"/>
      <name val="Arial"/>
      <family val="2"/>
      <charset val="161"/>
    </font>
    <font>
      <sz val="22"/>
      <name val="Arial"/>
      <family val="2"/>
      <charset val="161"/>
    </font>
    <font>
      <sz val="20"/>
      <color theme="1"/>
      <name val="Calibri"/>
      <family val="2"/>
      <charset val="161"/>
      <scheme val="minor"/>
    </font>
    <font>
      <sz val="12"/>
      <color theme="1"/>
      <name val="Times New Roman"/>
      <family val="1"/>
      <charset val="161"/>
    </font>
    <font>
      <sz val="11"/>
      <color theme="1"/>
      <name val="Courier New"/>
      <family val="3"/>
      <charset val="161"/>
    </font>
    <font>
      <sz val="10"/>
      <name val="New York"/>
      <charset val="161"/>
    </font>
    <font>
      <sz val="10"/>
      <color indexed="10"/>
      <name val="New York"/>
      <charset val="161"/>
    </font>
  </fonts>
  <fills count="4">
    <fill>
      <patternFill patternType="none"/>
    </fill>
    <fill>
      <patternFill patternType="gray125"/>
    </fill>
    <fill>
      <patternFill patternType="gray0625">
        <fgColor indexed="11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0" fillId="0" borderId="0" xfId="0" quotePrefix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164" fontId="9" fillId="0" borderId="0" xfId="0" applyNumberFormat="1" applyFont="1"/>
    <xf numFmtId="0" fontId="9" fillId="0" borderId="0" xfId="0" applyFont="1"/>
    <xf numFmtId="2" fontId="10" fillId="2" borderId="0" xfId="0" applyNumberFormat="1" applyFont="1" applyFill="1" applyAlignment="1">
      <alignment horizontal="center"/>
    </xf>
    <xf numFmtId="0" fontId="0" fillId="0" borderId="0" xfId="0" applyAlignment="1">
      <alignment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6" fillId="0" borderId="5" xfId="0" applyFont="1" applyBorder="1"/>
    <xf numFmtId="0" fontId="2" fillId="0" borderId="0" xfId="0" applyFont="1" applyBorder="1"/>
    <xf numFmtId="0" fontId="3" fillId="0" borderId="4" xfId="0" applyFont="1" applyBorder="1"/>
    <xf numFmtId="0" fontId="3" fillId="0" borderId="0" xfId="0" applyFont="1" applyBorder="1"/>
    <xf numFmtId="0" fontId="3" fillId="0" borderId="5" xfId="0" applyFont="1" applyBorder="1"/>
    <xf numFmtId="0" fontId="4" fillId="0" borderId="5" xfId="0" applyFont="1" applyBorder="1"/>
    <xf numFmtId="0" fontId="5" fillId="0" borderId="6" xfId="0" applyFont="1" applyBorder="1"/>
    <xf numFmtId="0" fontId="0" fillId="0" borderId="7" xfId="0" applyBorder="1"/>
    <xf numFmtId="0" fontId="0" fillId="0" borderId="8" xfId="0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0" fillId="3" borderId="0" xfId="0" applyFill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9" fillId="0" borderId="13" xfId="0" applyFont="1" applyBorder="1"/>
    <xf numFmtId="0" fontId="9" fillId="0" borderId="14" xfId="0" applyFont="1" applyBorder="1"/>
    <xf numFmtId="2" fontId="10" fillId="2" borderId="13" xfId="0" applyNumberFormat="1" applyFont="1" applyFill="1" applyBorder="1" applyAlignment="1">
      <alignment horizontal="center"/>
    </xf>
    <xf numFmtId="2" fontId="10" fillId="2" borderId="14" xfId="0" applyNumberFormat="1" applyFont="1" applyFill="1" applyBorder="1" applyAlignment="1">
      <alignment horizontal="center"/>
    </xf>
    <xf numFmtId="0" fontId="9" fillId="0" borderId="15" xfId="0" applyFont="1" applyBorder="1"/>
    <xf numFmtId="0" fontId="9" fillId="0" borderId="1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graph!$B$83</c:f>
              <c:strCache>
                <c:ptCount val="1"/>
                <c:pt idx="0">
                  <c:v>y</c:v>
                </c:pt>
              </c:strCache>
            </c:strRef>
          </c:tx>
          <c:marker>
            <c:symbol val="none"/>
          </c:marker>
          <c:xVal>
            <c:numRef>
              <c:f>graph!$A$84:$A$484</c:f>
              <c:numCache>
                <c:formatCode>General</c:formatCode>
                <c:ptCount val="401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5</c:v>
                </c:pt>
                <c:pt idx="11">
                  <c:v>5.5</c:v>
                </c:pt>
                <c:pt idx="12">
                  <c:v>6</c:v>
                </c:pt>
                <c:pt idx="13">
                  <c:v>6.5</c:v>
                </c:pt>
                <c:pt idx="14">
                  <c:v>7</c:v>
                </c:pt>
                <c:pt idx="15">
                  <c:v>7.5</c:v>
                </c:pt>
                <c:pt idx="16">
                  <c:v>8</c:v>
                </c:pt>
                <c:pt idx="17">
                  <c:v>8.5</c:v>
                </c:pt>
                <c:pt idx="18">
                  <c:v>9</c:v>
                </c:pt>
                <c:pt idx="19">
                  <c:v>9.5</c:v>
                </c:pt>
                <c:pt idx="20">
                  <c:v>10</c:v>
                </c:pt>
                <c:pt idx="21">
                  <c:v>10.5</c:v>
                </c:pt>
                <c:pt idx="22">
                  <c:v>11</c:v>
                </c:pt>
                <c:pt idx="23">
                  <c:v>11.5</c:v>
                </c:pt>
                <c:pt idx="24">
                  <c:v>12</c:v>
                </c:pt>
                <c:pt idx="25">
                  <c:v>12.5</c:v>
                </c:pt>
                <c:pt idx="26">
                  <c:v>13</c:v>
                </c:pt>
                <c:pt idx="27">
                  <c:v>13.5</c:v>
                </c:pt>
                <c:pt idx="28">
                  <c:v>14</c:v>
                </c:pt>
                <c:pt idx="29">
                  <c:v>14.5</c:v>
                </c:pt>
                <c:pt idx="30">
                  <c:v>15</c:v>
                </c:pt>
                <c:pt idx="31">
                  <c:v>15.5</c:v>
                </c:pt>
                <c:pt idx="32">
                  <c:v>16</c:v>
                </c:pt>
                <c:pt idx="33">
                  <c:v>16.5</c:v>
                </c:pt>
                <c:pt idx="34">
                  <c:v>17</c:v>
                </c:pt>
                <c:pt idx="35">
                  <c:v>17.5</c:v>
                </c:pt>
                <c:pt idx="36">
                  <c:v>18</c:v>
                </c:pt>
                <c:pt idx="37">
                  <c:v>18.5</c:v>
                </c:pt>
                <c:pt idx="38">
                  <c:v>19</c:v>
                </c:pt>
                <c:pt idx="39">
                  <c:v>19.5</c:v>
                </c:pt>
                <c:pt idx="40">
                  <c:v>20</c:v>
                </c:pt>
                <c:pt idx="41">
                  <c:v>20.5</c:v>
                </c:pt>
                <c:pt idx="42">
                  <c:v>21</c:v>
                </c:pt>
                <c:pt idx="43">
                  <c:v>21.5</c:v>
                </c:pt>
                <c:pt idx="44">
                  <c:v>22</c:v>
                </c:pt>
                <c:pt idx="45">
                  <c:v>22.5</c:v>
                </c:pt>
                <c:pt idx="46">
                  <c:v>23</c:v>
                </c:pt>
                <c:pt idx="47">
                  <c:v>23.5</c:v>
                </c:pt>
                <c:pt idx="48">
                  <c:v>24</c:v>
                </c:pt>
                <c:pt idx="49">
                  <c:v>24.5</c:v>
                </c:pt>
                <c:pt idx="50">
                  <c:v>25</c:v>
                </c:pt>
                <c:pt idx="51">
                  <c:v>25.5</c:v>
                </c:pt>
                <c:pt idx="52">
                  <c:v>26</c:v>
                </c:pt>
                <c:pt idx="53">
                  <c:v>26.5</c:v>
                </c:pt>
                <c:pt idx="54">
                  <c:v>27</c:v>
                </c:pt>
                <c:pt idx="55">
                  <c:v>27.5</c:v>
                </c:pt>
                <c:pt idx="56">
                  <c:v>28</c:v>
                </c:pt>
                <c:pt idx="57">
                  <c:v>28.5</c:v>
                </c:pt>
                <c:pt idx="58">
                  <c:v>29</c:v>
                </c:pt>
                <c:pt idx="59">
                  <c:v>29.5</c:v>
                </c:pt>
                <c:pt idx="60">
                  <c:v>30</c:v>
                </c:pt>
                <c:pt idx="61">
                  <c:v>30.5</c:v>
                </c:pt>
                <c:pt idx="62">
                  <c:v>31</c:v>
                </c:pt>
                <c:pt idx="63">
                  <c:v>31.5</c:v>
                </c:pt>
                <c:pt idx="64">
                  <c:v>32</c:v>
                </c:pt>
                <c:pt idx="65">
                  <c:v>32.5</c:v>
                </c:pt>
                <c:pt idx="66">
                  <c:v>33</c:v>
                </c:pt>
                <c:pt idx="67">
                  <c:v>33.5</c:v>
                </c:pt>
                <c:pt idx="68">
                  <c:v>34</c:v>
                </c:pt>
                <c:pt idx="69">
                  <c:v>34.5</c:v>
                </c:pt>
                <c:pt idx="70">
                  <c:v>35</c:v>
                </c:pt>
                <c:pt idx="71">
                  <c:v>35.5</c:v>
                </c:pt>
                <c:pt idx="72">
                  <c:v>36</c:v>
                </c:pt>
                <c:pt idx="73">
                  <c:v>36.5</c:v>
                </c:pt>
                <c:pt idx="74">
                  <c:v>37</c:v>
                </c:pt>
                <c:pt idx="75">
                  <c:v>37.5</c:v>
                </c:pt>
                <c:pt idx="76">
                  <c:v>38</c:v>
                </c:pt>
                <c:pt idx="77">
                  <c:v>38.5</c:v>
                </c:pt>
                <c:pt idx="78">
                  <c:v>39</c:v>
                </c:pt>
                <c:pt idx="79">
                  <c:v>39.5</c:v>
                </c:pt>
                <c:pt idx="80">
                  <c:v>40</c:v>
                </c:pt>
                <c:pt idx="81">
                  <c:v>40.5</c:v>
                </c:pt>
                <c:pt idx="82">
                  <c:v>41</c:v>
                </c:pt>
                <c:pt idx="83">
                  <c:v>41.5</c:v>
                </c:pt>
                <c:pt idx="84">
                  <c:v>42</c:v>
                </c:pt>
                <c:pt idx="85">
                  <c:v>42.5</c:v>
                </c:pt>
                <c:pt idx="86">
                  <c:v>43</c:v>
                </c:pt>
                <c:pt idx="87">
                  <c:v>43.5</c:v>
                </c:pt>
                <c:pt idx="88">
                  <c:v>44</c:v>
                </c:pt>
                <c:pt idx="89">
                  <c:v>44.5</c:v>
                </c:pt>
                <c:pt idx="90">
                  <c:v>45</c:v>
                </c:pt>
                <c:pt idx="91">
                  <c:v>45.5</c:v>
                </c:pt>
                <c:pt idx="92">
                  <c:v>46</c:v>
                </c:pt>
                <c:pt idx="93">
                  <c:v>46.5</c:v>
                </c:pt>
                <c:pt idx="94">
                  <c:v>47</c:v>
                </c:pt>
                <c:pt idx="95">
                  <c:v>47.5</c:v>
                </c:pt>
                <c:pt idx="96">
                  <c:v>48</c:v>
                </c:pt>
                <c:pt idx="97">
                  <c:v>48.5</c:v>
                </c:pt>
                <c:pt idx="98">
                  <c:v>49</c:v>
                </c:pt>
                <c:pt idx="99">
                  <c:v>49.5</c:v>
                </c:pt>
                <c:pt idx="100">
                  <c:v>50</c:v>
                </c:pt>
                <c:pt idx="101">
                  <c:v>50.5</c:v>
                </c:pt>
                <c:pt idx="102">
                  <c:v>51</c:v>
                </c:pt>
                <c:pt idx="103">
                  <c:v>51.5</c:v>
                </c:pt>
                <c:pt idx="104">
                  <c:v>52</c:v>
                </c:pt>
                <c:pt idx="105">
                  <c:v>52.5</c:v>
                </c:pt>
                <c:pt idx="106">
                  <c:v>53</c:v>
                </c:pt>
                <c:pt idx="107">
                  <c:v>53.5</c:v>
                </c:pt>
                <c:pt idx="108">
                  <c:v>54</c:v>
                </c:pt>
                <c:pt idx="109">
                  <c:v>54.5</c:v>
                </c:pt>
                <c:pt idx="110">
                  <c:v>55</c:v>
                </c:pt>
                <c:pt idx="111">
                  <c:v>55.5</c:v>
                </c:pt>
                <c:pt idx="112">
                  <c:v>56</c:v>
                </c:pt>
                <c:pt idx="113">
                  <c:v>56.5</c:v>
                </c:pt>
                <c:pt idx="114">
                  <c:v>57</c:v>
                </c:pt>
                <c:pt idx="115">
                  <c:v>57.5</c:v>
                </c:pt>
                <c:pt idx="116">
                  <c:v>58</c:v>
                </c:pt>
                <c:pt idx="117">
                  <c:v>58.5</c:v>
                </c:pt>
                <c:pt idx="118">
                  <c:v>59</c:v>
                </c:pt>
                <c:pt idx="119">
                  <c:v>59.5</c:v>
                </c:pt>
                <c:pt idx="120">
                  <c:v>60</c:v>
                </c:pt>
                <c:pt idx="121">
                  <c:v>60.5</c:v>
                </c:pt>
                <c:pt idx="122">
                  <c:v>61</c:v>
                </c:pt>
                <c:pt idx="123">
                  <c:v>61.5</c:v>
                </c:pt>
                <c:pt idx="124">
                  <c:v>62</c:v>
                </c:pt>
                <c:pt idx="125">
                  <c:v>62.5</c:v>
                </c:pt>
                <c:pt idx="126">
                  <c:v>63</c:v>
                </c:pt>
                <c:pt idx="127">
                  <c:v>63.5</c:v>
                </c:pt>
                <c:pt idx="128">
                  <c:v>64</c:v>
                </c:pt>
                <c:pt idx="129">
                  <c:v>64.5</c:v>
                </c:pt>
                <c:pt idx="130">
                  <c:v>65</c:v>
                </c:pt>
                <c:pt idx="131">
                  <c:v>65.5</c:v>
                </c:pt>
                <c:pt idx="132">
                  <c:v>66</c:v>
                </c:pt>
                <c:pt idx="133">
                  <c:v>66.5</c:v>
                </c:pt>
                <c:pt idx="134">
                  <c:v>67</c:v>
                </c:pt>
                <c:pt idx="135">
                  <c:v>67.5</c:v>
                </c:pt>
                <c:pt idx="136">
                  <c:v>68</c:v>
                </c:pt>
                <c:pt idx="137">
                  <c:v>68.5</c:v>
                </c:pt>
                <c:pt idx="138">
                  <c:v>69</c:v>
                </c:pt>
                <c:pt idx="139">
                  <c:v>69.5</c:v>
                </c:pt>
                <c:pt idx="140">
                  <c:v>70</c:v>
                </c:pt>
                <c:pt idx="141">
                  <c:v>70.5</c:v>
                </c:pt>
                <c:pt idx="142">
                  <c:v>71</c:v>
                </c:pt>
                <c:pt idx="143">
                  <c:v>71.5</c:v>
                </c:pt>
                <c:pt idx="144">
                  <c:v>72</c:v>
                </c:pt>
                <c:pt idx="145">
                  <c:v>72.5</c:v>
                </c:pt>
                <c:pt idx="146">
                  <c:v>73</c:v>
                </c:pt>
                <c:pt idx="147">
                  <c:v>73.5</c:v>
                </c:pt>
                <c:pt idx="148">
                  <c:v>74</c:v>
                </c:pt>
                <c:pt idx="149">
                  <c:v>74.5</c:v>
                </c:pt>
                <c:pt idx="150">
                  <c:v>75</c:v>
                </c:pt>
                <c:pt idx="151">
                  <c:v>75.5</c:v>
                </c:pt>
                <c:pt idx="152">
                  <c:v>76</c:v>
                </c:pt>
                <c:pt idx="153">
                  <c:v>76.5</c:v>
                </c:pt>
                <c:pt idx="154">
                  <c:v>77</c:v>
                </c:pt>
                <c:pt idx="155">
                  <c:v>77.5</c:v>
                </c:pt>
                <c:pt idx="156">
                  <c:v>78</c:v>
                </c:pt>
                <c:pt idx="157">
                  <c:v>78.5</c:v>
                </c:pt>
                <c:pt idx="158">
                  <c:v>79</c:v>
                </c:pt>
                <c:pt idx="159">
                  <c:v>79.5</c:v>
                </c:pt>
                <c:pt idx="160">
                  <c:v>80</c:v>
                </c:pt>
                <c:pt idx="161">
                  <c:v>80.5</c:v>
                </c:pt>
                <c:pt idx="162">
                  <c:v>81</c:v>
                </c:pt>
                <c:pt idx="163">
                  <c:v>81.5</c:v>
                </c:pt>
                <c:pt idx="164">
                  <c:v>82</c:v>
                </c:pt>
                <c:pt idx="165">
                  <c:v>82.5</c:v>
                </c:pt>
                <c:pt idx="166">
                  <c:v>83</c:v>
                </c:pt>
                <c:pt idx="167">
                  <c:v>83.5</c:v>
                </c:pt>
                <c:pt idx="168">
                  <c:v>84</c:v>
                </c:pt>
                <c:pt idx="169">
                  <c:v>84.5</c:v>
                </c:pt>
                <c:pt idx="170">
                  <c:v>85</c:v>
                </c:pt>
                <c:pt idx="171">
                  <c:v>85.5</c:v>
                </c:pt>
                <c:pt idx="172">
                  <c:v>86</c:v>
                </c:pt>
                <c:pt idx="173">
                  <c:v>86.5</c:v>
                </c:pt>
                <c:pt idx="174">
                  <c:v>87</c:v>
                </c:pt>
                <c:pt idx="175">
                  <c:v>87.5</c:v>
                </c:pt>
                <c:pt idx="176">
                  <c:v>88</c:v>
                </c:pt>
                <c:pt idx="177">
                  <c:v>88.5</c:v>
                </c:pt>
                <c:pt idx="178">
                  <c:v>89</c:v>
                </c:pt>
                <c:pt idx="179">
                  <c:v>89.5</c:v>
                </c:pt>
                <c:pt idx="180">
                  <c:v>90</c:v>
                </c:pt>
                <c:pt idx="181">
                  <c:v>90.5</c:v>
                </c:pt>
                <c:pt idx="182">
                  <c:v>91</c:v>
                </c:pt>
                <c:pt idx="183">
                  <c:v>91.5</c:v>
                </c:pt>
                <c:pt idx="184">
                  <c:v>92</c:v>
                </c:pt>
                <c:pt idx="185">
                  <c:v>92.5</c:v>
                </c:pt>
                <c:pt idx="186">
                  <c:v>93</c:v>
                </c:pt>
                <c:pt idx="187">
                  <c:v>93.5</c:v>
                </c:pt>
                <c:pt idx="188">
                  <c:v>94</c:v>
                </c:pt>
                <c:pt idx="189">
                  <c:v>94.5</c:v>
                </c:pt>
                <c:pt idx="190">
                  <c:v>95</c:v>
                </c:pt>
                <c:pt idx="191">
                  <c:v>95.5</c:v>
                </c:pt>
                <c:pt idx="192">
                  <c:v>96</c:v>
                </c:pt>
                <c:pt idx="193">
                  <c:v>96.5</c:v>
                </c:pt>
                <c:pt idx="194">
                  <c:v>97</c:v>
                </c:pt>
                <c:pt idx="195">
                  <c:v>97.5</c:v>
                </c:pt>
                <c:pt idx="196">
                  <c:v>98</c:v>
                </c:pt>
                <c:pt idx="197">
                  <c:v>98.5</c:v>
                </c:pt>
                <c:pt idx="198">
                  <c:v>99</c:v>
                </c:pt>
                <c:pt idx="199">
                  <c:v>99.5</c:v>
                </c:pt>
                <c:pt idx="200">
                  <c:v>100</c:v>
                </c:pt>
                <c:pt idx="201">
                  <c:v>100.5</c:v>
                </c:pt>
                <c:pt idx="202">
                  <c:v>101</c:v>
                </c:pt>
                <c:pt idx="203">
                  <c:v>101.5</c:v>
                </c:pt>
                <c:pt idx="204">
                  <c:v>102</c:v>
                </c:pt>
                <c:pt idx="205">
                  <c:v>102.5</c:v>
                </c:pt>
                <c:pt idx="206">
                  <c:v>103</c:v>
                </c:pt>
                <c:pt idx="207">
                  <c:v>103.5</c:v>
                </c:pt>
                <c:pt idx="208">
                  <c:v>104</c:v>
                </c:pt>
                <c:pt idx="209">
                  <c:v>104.5</c:v>
                </c:pt>
                <c:pt idx="210">
                  <c:v>105</c:v>
                </c:pt>
                <c:pt idx="211">
                  <c:v>105.5</c:v>
                </c:pt>
                <c:pt idx="212">
                  <c:v>106</c:v>
                </c:pt>
                <c:pt idx="213">
                  <c:v>106.5</c:v>
                </c:pt>
                <c:pt idx="214">
                  <c:v>107</c:v>
                </c:pt>
                <c:pt idx="215">
                  <c:v>107.5</c:v>
                </c:pt>
                <c:pt idx="216">
                  <c:v>108</c:v>
                </c:pt>
                <c:pt idx="217">
                  <c:v>108.5</c:v>
                </c:pt>
                <c:pt idx="218">
                  <c:v>109</c:v>
                </c:pt>
                <c:pt idx="219">
                  <c:v>109.5</c:v>
                </c:pt>
                <c:pt idx="220">
                  <c:v>110</c:v>
                </c:pt>
                <c:pt idx="221">
                  <c:v>110.5</c:v>
                </c:pt>
                <c:pt idx="222">
                  <c:v>111</c:v>
                </c:pt>
                <c:pt idx="223">
                  <c:v>111.5</c:v>
                </c:pt>
                <c:pt idx="224">
                  <c:v>112</c:v>
                </c:pt>
                <c:pt idx="225">
                  <c:v>112.5</c:v>
                </c:pt>
                <c:pt idx="226">
                  <c:v>113</c:v>
                </c:pt>
                <c:pt idx="227">
                  <c:v>113.5</c:v>
                </c:pt>
                <c:pt idx="228">
                  <c:v>114</c:v>
                </c:pt>
                <c:pt idx="229">
                  <c:v>114.5</c:v>
                </c:pt>
                <c:pt idx="230">
                  <c:v>115</c:v>
                </c:pt>
                <c:pt idx="231">
                  <c:v>115.5</c:v>
                </c:pt>
                <c:pt idx="232">
                  <c:v>116</c:v>
                </c:pt>
                <c:pt idx="233">
                  <c:v>116.5</c:v>
                </c:pt>
                <c:pt idx="234">
                  <c:v>117</c:v>
                </c:pt>
                <c:pt idx="235">
                  <c:v>117.5</c:v>
                </c:pt>
                <c:pt idx="236">
                  <c:v>118</c:v>
                </c:pt>
                <c:pt idx="237">
                  <c:v>118.5</c:v>
                </c:pt>
                <c:pt idx="238">
                  <c:v>119</c:v>
                </c:pt>
                <c:pt idx="239">
                  <c:v>119.5</c:v>
                </c:pt>
                <c:pt idx="240">
                  <c:v>120</c:v>
                </c:pt>
                <c:pt idx="241">
                  <c:v>120.5</c:v>
                </c:pt>
                <c:pt idx="242">
                  <c:v>121</c:v>
                </c:pt>
                <c:pt idx="243">
                  <c:v>121.5</c:v>
                </c:pt>
                <c:pt idx="244">
                  <c:v>122</c:v>
                </c:pt>
                <c:pt idx="245">
                  <c:v>122.5</c:v>
                </c:pt>
                <c:pt idx="246">
                  <c:v>123</c:v>
                </c:pt>
                <c:pt idx="247">
                  <c:v>123.5</c:v>
                </c:pt>
                <c:pt idx="248">
                  <c:v>124</c:v>
                </c:pt>
                <c:pt idx="249">
                  <c:v>124.5</c:v>
                </c:pt>
                <c:pt idx="250">
                  <c:v>125</c:v>
                </c:pt>
                <c:pt idx="251">
                  <c:v>125.5</c:v>
                </c:pt>
                <c:pt idx="252">
                  <c:v>126</c:v>
                </c:pt>
                <c:pt idx="253">
                  <c:v>126.5</c:v>
                </c:pt>
                <c:pt idx="254">
                  <c:v>127</c:v>
                </c:pt>
                <c:pt idx="255">
                  <c:v>127.5</c:v>
                </c:pt>
                <c:pt idx="256">
                  <c:v>128</c:v>
                </c:pt>
                <c:pt idx="257">
                  <c:v>128.5</c:v>
                </c:pt>
                <c:pt idx="258">
                  <c:v>129</c:v>
                </c:pt>
                <c:pt idx="259">
                  <c:v>129.5</c:v>
                </c:pt>
                <c:pt idx="260">
                  <c:v>130</c:v>
                </c:pt>
                <c:pt idx="261">
                  <c:v>130.5</c:v>
                </c:pt>
                <c:pt idx="262">
                  <c:v>131</c:v>
                </c:pt>
                <c:pt idx="263">
                  <c:v>131.5</c:v>
                </c:pt>
                <c:pt idx="264">
                  <c:v>132</c:v>
                </c:pt>
                <c:pt idx="265">
                  <c:v>132.5</c:v>
                </c:pt>
                <c:pt idx="266">
                  <c:v>133</c:v>
                </c:pt>
                <c:pt idx="267">
                  <c:v>133.5</c:v>
                </c:pt>
                <c:pt idx="268">
                  <c:v>134</c:v>
                </c:pt>
                <c:pt idx="269">
                  <c:v>134.5</c:v>
                </c:pt>
                <c:pt idx="270">
                  <c:v>135</c:v>
                </c:pt>
                <c:pt idx="271">
                  <c:v>135.5</c:v>
                </c:pt>
                <c:pt idx="272">
                  <c:v>136</c:v>
                </c:pt>
                <c:pt idx="273">
                  <c:v>136.5</c:v>
                </c:pt>
                <c:pt idx="274">
                  <c:v>137</c:v>
                </c:pt>
                <c:pt idx="275">
                  <c:v>137.5</c:v>
                </c:pt>
                <c:pt idx="276">
                  <c:v>138</c:v>
                </c:pt>
                <c:pt idx="277">
                  <c:v>138.5</c:v>
                </c:pt>
                <c:pt idx="278">
                  <c:v>139</c:v>
                </c:pt>
                <c:pt idx="279">
                  <c:v>139.5</c:v>
                </c:pt>
                <c:pt idx="280">
                  <c:v>140</c:v>
                </c:pt>
                <c:pt idx="281">
                  <c:v>140.5</c:v>
                </c:pt>
                <c:pt idx="282">
                  <c:v>141</c:v>
                </c:pt>
                <c:pt idx="283">
                  <c:v>141.5</c:v>
                </c:pt>
                <c:pt idx="284">
                  <c:v>142</c:v>
                </c:pt>
                <c:pt idx="285">
                  <c:v>142.5</c:v>
                </c:pt>
                <c:pt idx="286">
                  <c:v>143</c:v>
                </c:pt>
                <c:pt idx="287">
                  <c:v>143.5</c:v>
                </c:pt>
                <c:pt idx="288">
                  <c:v>144</c:v>
                </c:pt>
                <c:pt idx="289">
                  <c:v>144.5</c:v>
                </c:pt>
                <c:pt idx="290">
                  <c:v>145</c:v>
                </c:pt>
                <c:pt idx="291">
                  <c:v>145.5</c:v>
                </c:pt>
                <c:pt idx="292">
                  <c:v>146</c:v>
                </c:pt>
                <c:pt idx="293">
                  <c:v>146.5</c:v>
                </c:pt>
                <c:pt idx="294">
                  <c:v>147</c:v>
                </c:pt>
                <c:pt idx="295">
                  <c:v>147.5</c:v>
                </c:pt>
                <c:pt idx="296">
                  <c:v>148</c:v>
                </c:pt>
                <c:pt idx="297">
                  <c:v>148.5</c:v>
                </c:pt>
                <c:pt idx="298">
                  <c:v>149</c:v>
                </c:pt>
                <c:pt idx="299">
                  <c:v>149.5</c:v>
                </c:pt>
                <c:pt idx="300">
                  <c:v>150</c:v>
                </c:pt>
                <c:pt idx="301">
                  <c:v>150.5</c:v>
                </c:pt>
                <c:pt idx="302">
                  <c:v>151</c:v>
                </c:pt>
                <c:pt idx="303">
                  <c:v>151.5</c:v>
                </c:pt>
                <c:pt idx="304">
                  <c:v>152</c:v>
                </c:pt>
                <c:pt idx="305">
                  <c:v>152.5</c:v>
                </c:pt>
                <c:pt idx="306">
                  <c:v>153</c:v>
                </c:pt>
                <c:pt idx="307">
                  <c:v>153.5</c:v>
                </c:pt>
                <c:pt idx="308">
                  <c:v>154</c:v>
                </c:pt>
                <c:pt idx="309">
                  <c:v>154.5</c:v>
                </c:pt>
                <c:pt idx="310">
                  <c:v>155</c:v>
                </c:pt>
                <c:pt idx="311">
                  <c:v>155.5</c:v>
                </c:pt>
                <c:pt idx="312">
                  <c:v>156</c:v>
                </c:pt>
                <c:pt idx="313">
                  <c:v>156.5</c:v>
                </c:pt>
                <c:pt idx="314">
                  <c:v>157</c:v>
                </c:pt>
                <c:pt idx="315">
                  <c:v>157.5</c:v>
                </c:pt>
                <c:pt idx="316">
                  <c:v>158</c:v>
                </c:pt>
                <c:pt idx="317">
                  <c:v>158.5</c:v>
                </c:pt>
                <c:pt idx="318">
                  <c:v>159</c:v>
                </c:pt>
                <c:pt idx="319">
                  <c:v>159.5</c:v>
                </c:pt>
                <c:pt idx="320">
                  <c:v>160</c:v>
                </c:pt>
                <c:pt idx="321">
                  <c:v>160.5</c:v>
                </c:pt>
                <c:pt idx="322">
                  <c:v>161</c:v>
                </c:pt>
                <c:pt idx="323">
                  <c:v>161.5</c:v>
                </c:pt>
                <c:pt idx="324">
                  <c:v>162</c:v>
                </c:pt>
                <c:pt idx="325">
                  <c:v>162.5</c:v>
                </c:pt>
                <c:pt idx="326">
                  <c:v>163</c:v>
                </c:pt>
                <c:pt idx="327">
                  <c:v>163.5</c:v>
                </c:pt>
                <c:pt idx="328">
                  <c:v>164</c:v>
                </c:pt>
                <c:pt idx="329">
                  <c:v>164.5</c:v>
                </c:pt>
                <c:pt idx="330">
                  <c:v>165</c:v>
                </c:pt>
                <c:pt idx="331">
                  <c:v>165.5</c:v>
                </c:pt>
                <c:pt idx="332">
                  <c:v>166</c:v>
                </c:pt>
                <c:pt idx="333">
                  <c:v>166.5</c:v>
                </c:pt>
                <c:pt idx="334">
                  <c:v>167</c:v>
                </c:pt>
                <c:pt idx="335">
                  <c:v>167.5</c:v>
                </c:pt>
                <c:pt idx="336">
                  <c:v>168</c:v>
                </c:pt>
                <c:pt idx="337">
                  <c:v>168.5</c:v>
                </c:pt>
                <c:pt idx="338">
                  <c:v>169</c:v>
                </c:pt>
                <c:pt idx="339">
                  <c:v>169.5</c:v>
                </c:pt>
                <c:pt idx="340">
                  <c:v>170</c:v>
                </c:pt>
                <c:pt idx="341">
                  <c:v>170.5</c:v>
                </c:pt>
                <c:pt idx="342">
                  <c:v>171</c:v>
                </c:pt>
                <c:pt idx="343">
                  <c:v>171.5</c:v>
                </c:pt>
                <c:pt idx="344">
                  <c:v>172</c:v>
                </c:pt>
                <c:pt idx="345">
                  <c:v>172.5</c:v>
                </c:pt>
                <c:pt idx="346">
                  <c:v>173</c:v>
                </c:pt>
                <c:pt idx="347">
                  <c:v>173.5</c:v>
                </c:pt>
                <c:pt idx="348">
                  <c:v>174</c:v>
                </c:pt>
                <c:pt idx="349">
                  <c:v>174.5</c:v>
                </c:pt>
                <c:pt idx="350">
                  <c:v>175</c:v>
                </c:pt>
                <c:pt idx="351">
                  <c:v>175.5</c:v>
                </c:pt>
                <c:pt idx="352">
                  <c:v>176</c:v>
                </c:pt>
                <c:pt idx="353">
                  <c:v>176.5</c:v>
                </c:pt>
                <c:pt idx="354">
                  <c:v>177</c:v>
                </c:pt>
                <c:pt idx="355">
                  <c:v>177.5</c:v>
                </c:pt>
                <c:pt idx="356">
                  <c:v>178</c:v>
                </c:pt>
                <c:pt idx="357">
                  <c:v>178.5</c:v>
                </c:pt>
                <c:pt idx="358">
                  <c:v>179</c:v>
                </c:pt>
                <c:pt idx="359">
                  <c:v>179.5</c:v>
                </c:pt>
                <c:pt idx="360">
                  <c:v>180</c:v>
                </c:pt>
                <c:pt idx="361">
                  <c:v>180.5</c:v>
                </c:pt>
                <c:pt idx="362">
                  <c:v>181</c:v>
                </c:pt>
                <c:pt idx="363">
                  <c:v>181.5</c:v>
                </c:pt>
                <c:pt idx="364">
                  <c:v>182</c:v>
                </c:pt>
                <c:pt idx="365">
                  <c:v>182.5</c:v>
                </c:pt>
                <c:pt idx="366">
                  <c:v>183</c:v>
                </c:pt>
                <c:pt idx="367">
                  <c:v>183.5</c:v>
                </c:pt>
                <c:pt idx="368">
                  <c:v>184</c:v>
                </c:pt>
                <c:pt idx="369">
                  <c:v>184.5</c:v>
                </c:pt>
                <c:pt idx="370">
                  <c:v>185</c:v>
                </c:pt>
                <c:pt idx="371">
                  <c:v>185.5</c:v>
                </c:pt>
                <c:pt idx="372">
                  <c:v>186</c:v>
                </c:pt>
                <c:pt idx="373">
                  <c:v>186.5</c:v>
                </c:pt>
                <c:pt idx="374">
                  <c:v>187</c:v>
                </c:pt>
                <c:pt idx="375">
                  <c:v>187.5</c:v>
                </c:pt>
                <c:pt idx="376">
                  <c:v>188</c:v>
                </c:pt>
                <c:pt idx="377">
                  <c:v>188.5</c:v>
                </c:pt>
                <c:pt idx="378">
                  <c:v>189</c:v>
                </c:pt>
                <c:pt idx="379">
                  <c:v>189.5</c:v>
                </c:pt>
                <c:pt idx="380">
                  <c:v>190</c:v>
                </c:pt>
                <c:pt idx="381">
                  <c:v>190.5</c:v>
                </c:pt>
                <c:pt idx="382">
                  <c:v>191</c:v>
                </c:pt>
                <c:pt idx="383">
                  <c:v>191.5</c:v>
                </c:pt>
                <c:pt idx="384">
                  <c:v>192</c:v>
                </c:pt>
                <c:pt idx="385">
                  <c:v>192.5</c:v>
                </c:pt>
                <c:pt idx="386">
                  <c:v>193</c:v>
                </c:pt>
                <c:pt idx="387">
                  <c:v>193.5</c:v>
                </c:pt>
                <c:pt idx="388">
                  <c:v>194</c:v>
                </c:pt>
                <c:pt idx="389">
                  <c:v>194.5</c:v>
                </c:pt>
                <c:pt idx="390">
                  <c:v>195</c:v>
                </c:pt>
                <c:pt idx="391">
                  <c:v>195.5</c:v>
                </c:pt>
                <c:pt idx="392">
                  <c:v>196</c:v>
                </c:pt>
                <c:pt idx="393">
                  <c:v>196.5</c:v>
                </c:pt>
                <c:pt idx="394">
                  <c:v>197</c:v>
                </c:pt>
                <c:pt idx="395">
                  <c:v>197.5</c:v>
                </c:pt>
                <c:pt idx="396">
                  <c:v>198</c:v>
                </c:pt>
                <c:pt idx="397">
                  <c:v>198.5</c:v>
                </c:pt>
                <c:pt idx="398">
                  <c:v>199</c:v>
                </c:pt>
                <c:pt idx="399">
                  <c:v>199.5</c:v>
                </c:pt>
                <c:pt idx="400">
                  <c:v>200</c:v>
                </c:pt>
              </c:numCache>
            </c:numRef>
          </c:xVal>
          <c:yVal>
            <c:numRef>
              <c:f>graph!$B$84:$B$484</c:f>
              <c:numCache>
                <c:formatCode>General</c:formatCode>
                <c:ptCount val="401"/>
                <c:pt idx="0">
                  <c:v>0</c:v>
                </c:pt>
                <c:pt idx="1">
                  <c:v>2.0942419883356957</c:v>
                </c:pt>
                <c:pt idx="2">
                  <c:v>4.1875653729199627</c:v>
                </c:pt>
                <c:pt idx="3">
                  <c:v>6.2790519529313364</c:v>
                </c:pt>
                <c:pt idx="4">
                  <c:v>8.3677843332315476</c:v>
                </c:pt>
                <c:pt idx="5">
                  <c:v>10.452846326765346</c:v>
                </c:pt>
                <c:pt idx="6">
                  <c:v>12.533323356430422</c:v>
                </c:pt>
                <c:pt idx="7">
                  <c:v>14.60830285624116</c:v>
                </c:pt>
                <c:pt idx="8">
                  <c:v>16.676874671610225</c:v>
                </c:pt>
                <c:pt idx="9">
                  <c:v>18.738131458572461</c:v>
                </c:pt>
                <c:pt idx="10">
                  <c:v>20.79116908177593</c:v>
                </c:pt>
                <c:pt idx="11">
                  <c:v>22.835087011065571</c:v>
                </c:pt>
                <c:pt idx="12">
                  <c:v>24.868988716485475</c:v>
                </c:pt>
                <c:pt idx="13">
                  <c:v>26.891982061526569</c:v>
                </c:pt>
                <c:pt idx="14">
                  <c:v>28.903179694447157</c:v>
                </c:pt>
                <c:pt idx="15">
                  <c:v>30.901699437494738</c:v>
                </c:pt>
                <c:pt idx="16">
                  <c:v>32.88666467385832</c:v>
                </c:pt>
                <c:pt idx="17">
                  <c:v>34.857204732181515</c:v>
                </c:pt>
                <c:pt idx="18">
                  <c:v>36.812455268467794</c:v>
                </c:pt>
                <c:pt idx="19">
                  <c:v>38.751558645210295</c:v>
                </c:pt>
                <c:pt idx="20">
                  <c:v>40.673664307580012</c:v>
                </c:pt>
                <c:pt idx="21">
                  <c:v>42.57792915650726</c:v>
                </c:pt>
                <c:pt idx="22">
                  <c:v>44.463517918492748</c:v>
                </c:pt>
                <c:pt idx="23">
                  <c:v>46.329603511986164</c:v>
                </c:pt>
                <c:pt idx="24">
                  <c:v>48.175367410171518</c:v>
                </c:pt>
                <c:pt idx="25">
                  <c:v>49.999999999999993</c:v>
                </c:pt>
                <c:pt idx="26">
                  <c:v>51.80270093731302</c:v>
                </c:pt>
                <c:pt idx="27">
                  <c:v>53.582679497899655</c:v>
                </c:pt>
                <c:pt idx="28">
                  <c:v>55.339154924334402</c:v>
                </c:pt>
                <c:pt idx="29">
                  <c:v>57.07135676844316</c:v>
                </c:pt>
                <c:pt idx="30">
                  <c:v>58.778525229247315</c:v>
                </c:pt>
                <c:pt idx="31">
                  <c:v>60.459911486237473</c:v>
                </c:pt>
                <c:pt idx="32">
                  <c:v>62.114778027831029</c:v>
                </c:pt>
                <c:pt idx="33">
                  <c:v>63.742398974868962</c:v>
                </c:pt>
                <c:pt idx="34">
                  <c:v>65.342060399010535</c:v>
                </c:pt>
                <c:pt idx="35">
                  <c:v>66.913060635885813</c:v>
                </c:pt>
                <c:pt idx="36">
                  <c:v>68.454710592868864</c:v>
                </c:pt>
                <c:pt idx="37">
                  <c:v>69.966334051336545</c:v>
                </c:pt>
                <c:pt idx="38">
                  <c:v>71.447267963280325</c:v>
                </c:pt>
                <c:pt idx="39">
                  <c:v>72.896862742141138</c:v>
                </c:pt>
                <c:pt idx="40">
                  <c:v>74.314482547739416</c:v>
                </c:pt>
                <c:pt idx="41">
                  <c:v>75.699505565175627</c:v>
                </c:pt>
                <c:pt idx="42">
                  <c:v>77.051324277578914</c:v>
                </c:pt>
                <c:pt idx="43">
                  <c:v>78.369345732583966</c:v>
                </c:pt>
                <c:pt idx="44">
                  <c:v>79.652991802419621</c:v>
                </c:pt>
                <c:pt idx="45">
                  <c:v>80.901699437494727</c:v>
                </c:pt>
                <c:pt idx="46">
                  <c:v>82.114920913370398</c:v>
                </c:pt>
                <c:pt idx="47">
                  <c:v>83.292124071009937</c:v>
                </c:pt>
                <c:pt idx="48">
                  <c:v>84.432792550201498</c:v>
                </c:pt>
                <c:pt idx="49">
                  <c:v>85.536426016050655</c:v>
                </c:pt>
                <c:pt idx="50">
                  <c:v>86.602540378443862</c:v>
                </c:pt>
                <c:pt idx="51">
                  <c:v>87.630668004386365</c:v>
                </c:pt>
                <c:pt idx="52">
                  <c:v>88.620357923121475</c:v>
                </c:pt>
                <c:pt idx="53">
                  <c:v>89.571176023941291</c:v>
                </c:pt>
                <c:pt idx="54">
                  <c:v>90.482705246601952</c:v>
                </c:pt>
                <c:pt idx="55">
                  <c:v>91.354545764260081</c:v>
                </c:pt>
                <c:pt idx="56">
                  <c:v>92.18631515885005</c:v>
                </c:pt>
                <c:pt idx="57">
                  <c:v>92.977648588825133</c:v>
                </c:pt>
                <c:pt idx="58">
                  <c:v>93.728198949189149</c:v>
                </c:pt>
                <c:pt idx="59">
                  <c:v>94.437637023748096</c:v>
                </c:pt>
                <c:pt idx="60">
                  <c:v>95.10565162951535</c:v>
                </c:pt>
                <c:pt idx="61">
                  <c:v>95.73194975320672</c:v>
                </c:pt>
                <c:pt idx="62">
                  <c:v>96.316256679765814</c:v>
                </c:pt>
                <c:pt idx="63">
                  <c:v>96.858316112863108</c:v>
                </c:pt>
                <c:pt idx="64">
                  <c:v>97.357890287316025</c:v>
                </c:pt>
                <c:pt idx="65">
                  <c:v>97.814760073380555</c:v>
                </c:pt>
                <c:pt idx="66">
                  <c:v>98.228725072868855</c:v>
                </c:pt>
                <c:pt idx="67">
                  <c:v>98.599603707050491</c:v>
                </c:pt>
                <c:pt idx="68">
                  <c:v>98.927233296298837</c:v>
                </c:pt>
                <c:pt idx="69">
                  <c:v>99.211470131447783</c:v>
                </c:pt>
                <c:pt idx="70">
                  <c:v>99.452189536827333</c:v>
                </c:pt>
                <c:pt idx="71">
                  <c:v>99.649285924950433</c:v>
                </c:pt>
                <c:pt idx="72">
                  <c:v>99.80267284282715</c:v>
                </c:pt>
                <c:pt idx="73">
                  <c:v>99.91228300988584</c:v>
                </c:pt>
                <c:pt idx="74">
                  <c:v>99.978068347484552</c:v>
                </c:pt>
                <c:pt idx="75">
                  <c:v>100</c:v>
                </c:pt>
                <c:pt idx="76">
                  <c:v>99.978068347484552</c:v>
                </c:pt>
                <c:pt idx="77">
                  <c:v>99.91228300988584</c:v>
                </c:pt>
                <c:pt idx="78">
                  <c:v>99.80267284282715</c:v>
                </c:pt>
                <c:pt idx="79">
                  <c:v>99.649285924950433</c:v>
                </c:pt>
                <c:pt idx="80">
                  <c:v>99.452189536827333</c:v>
                </c:pt>
                <c:pt idx="81">
                  <c:v>99.211470131447783</c:v>
                </c:pt>
                <c:pt idx="82">
                  <c:v>98.927233296298837</c:v>
                </c:pt>
                <c:pt idx="83">
                  <c:v>98.599603707050505</c:v>
                </c:pt>
                <c:pt idx="84">
                  <c:v>98.228725072868869</c:v>
                </c:pt>
                <c:pt idx="85">
                  <c:v>97.814760073380569</c:v>
                </c:pt>
                <c:pt idx="86">
                  <c:v>97.357890287316025</c:v>
                </c:pt>
                <c:pt idx="87">
                  <c:v>96.858316112863122</c:v>
                </c:pt>
                <c:pt idx="88">
                  <c:v>96.316256679765814</c:v>
                </c:pt>
                <c:pt idx="89">
                  <c:v>95.731949753206734</c:v>
                </c:pt>
                <c:pt idx="90">
                  <c:v>95.105651629515364</c:v>
                </c:pt>
                <c:pt idx="91">
                  <c:v>94.43763702374811</c:v>
                </c:pt>
                <c:pt idx="92">
                  <c:v>93.728198949189164</c:v>
                </c:pt>
                <c:pt idx="93">
                  <c:v>92.977648588825147</c:v>
                </c:pt>
                <c:pt idx="94">
                  <c:v>92.186315158850064</c:v>
                </c:pt>
                <c:pt idx="95">
                  <c:v>91.354545764260095</c:v>
                </c:pt>
                <c:pt idx="96">
                  <c:v>90.482705246601967</c:v>
                </c:pt>
                <c:pt idx="97">
                  <c:v>89.571176023941305</c:v>
                </c:pt>
                <c:pt idx="98">
                  <c:v>88.620357923121489</c:v>
                </c:pt>
                <c:pt idx="99">
                  <c:v>87.630668004386365</c:v>
                </c:pt>
                <c:pt idx="100">
                  <c:v>86.602540378443877</c:v>
                </c:pt>
                <c:pt idx="101">
                  <c:v>85.536426016050669</c:v>
                </c:pt>
                <c:pt idx="102">
                  <c:v>84.432792550201512</c:v>
                </c:pt>
                <c:pt idx="103">
                  <c:v>83.292124071009951</c:v>
                </c:pt>
                <c:pt idx="104">
                  <c:v>82.114920913370412</c:v>
                </c:pt>
                <c:pt idx="105">
                  <c:v>80.901699437494742</c:v>
                </c:pt>
                <c:pt idx="106">
                  <c:v>79.652991802419635</c:v>
                </c:pt>
                <c:pt idx="107">
                  <c:v>78.369345732584009</c:v>
                </c:pt>
                <c:pt idx="108">
                  <c:v>77.051324277578942</c:v>
                </c:pt>
                <c:pt idx="109">
                  <c:v>75.69950556517567</c:v>
                </c:pt>
                <c:pt idx="110">
                  <c:v>74.314482547739445</c:v>
                </c:pt>
                <c:pt idx="111">
                  <c:v>72.896862742141181</c:v>
                </c:pt>
                <c:pt idx="112">
                  <c:v>71.447267963280353</c:v>
                </c:pt>
                <c:pt idx="113">
                  <c:v>69.96633405133656</c:v>
                </c:pt>
                <c:pt idx="114">
                  <c:v>68.454710592868878</c:v>
                </c:pt>
                <c:pt idx="115">
                  <c:v>66.913060635885842</c:v>
                </c:pt>
                <c:pt idx="116">
                  <c:v>65.342060399010563</c:v>
                </c:pt>
                <c:pt idx="117">
                  <c:v>63.742398974868983</c:v>
                </c:pt>
                <c:pt idx="118">
                  <c:v>62.114778027831051</c:v>
                </c:pt>
                <c:pt idx="119">
                  <c:v>60.459911486237495</c:v>
                </c:pt>
                <c:pt idx="120">
                  <c:v>58.778525229247322</c:v>
                </c:pt>
                <c:pt idx="121">
                  <c:v>57.071356768443216</c:v>
                </c:pt>
                <c:pt idx="122">
                  <c:v>55.339154924334444</c:v>
                </c:pt>
                <c:pt idx="123">
                  <c:v>53.582679497899697</c:v>
                </c:pt>
                <c:pt idx="124">
                  <c:v>51.802700937313062</c:v>
                </c:pt>
                <c:pt idx="125">
                  <c:v>50.000000000000036</c:v>
                </c:pt>
                <c:pt idx="126">
                  <c:v>48.17536741017156</c:v>
                </c:pt>
                <c:pt idx="127">
                  <c:v>46.329603511986207</c:v>
                </c:pt>
                <c:pt idx="128">
                  <c:v>44.463517918492776</c:v>
                </c:pt>
                <c:pt idx="129">
                  <c:v>42.577929156507288</c:v>
                </c:pt>
                <c:pt idx="130">
                  <c:v>40.67366430758004</c:v>
                </c:pt>
                <c:pt idx="131">
                  <c:v>38.751558645210316</c:v>
                </c:pt>
                <c:pt idx="132">
                  <c:v>36.812455268467815</c:v>
                </c:pt>
                <c:pt idx="133">
                  <c:v>34.857204732181536</c:v>
                </c:pt>
                <c:pt idx="134">
                  <c:v>32.886664673858341</c:v>
                </c:pt>
                <c:pt idx="135">
                  <c:v>30.901699437494752</c:v>
                </c:pt>
                <c:pt idx="136">
                  <c:v>28.903179694447211</c:v>
                </c:pt>
                <c:pt idx="137">
                  <c:v>26.891982061526619</c:v>
                </c:pt>
                <c:pt idx="138">
                  <c:v>24.868988716485525</c:v>
                </c:pt>
                <c:pt idx="139">
                  <c:v>22.835087011065617</c:v>
                </c:pt>
                <c:pt idx="140">
                  <c:v>20.791169081775973</c:v>
                </c:pt>
                <c:pt idx="141">
                  <c:v>18.7381314585725</c:v>
                </c:pt>
                <c:pt idx="142">
                  <c:v>16.67687467161026</c:v>
                </c:pt>
                <c:pt idx="143">
                  <c:v>14.608302856241192</c:v>
                </c:pt>
                <c:pt idx="144">
                  <c:v>12.533323356430454</c:v>
                </c:pt>
                <c:pt idx="145">
                  <c:v>10.452846326765373</c:v>
                </c:pt>
                <c:pt idx="146">
                  <c:v>8.3677843332315724</c:v>
                </c:pt>
                <c:pt idx="147">
                  <c:v>6.2790519529313578</c:v>
                </c:pt>
                <c:pt idx="148">
                  <c:v>4.1875653729199813</c:v>
                </c:pt>
                <c:pt idx="149">
                  <c:v>2.0942419883357108</c:v>
                </c:pt>
                <c:pt idx="150">
                  <c:v>5.6660405534092462E-14</c:v>
                </c:pt>
                <c:pt idx="151">
                  <c:v>-2.0942419883356425</c:v>
                </c:pt>
                <c:pt idx="152">
                  <c:v>-4.187565372919912</c:v>
                </c:pt>
                <c:pt idx="153">
                  <c:v>-6.2790519529312903</c:v>
                </c:pt>
                <c:pt idx="154">
                  <c:v>-8.3677843332315032</c:v>
                </c:pt>
                <c:pt idx="155">
                  <c:v>-10.452846326765306</c:v>
                </c:pt>
                <c:pt idx="156">
                  <c:v>-12.533323356430385</c:v>
                </c:pt>
                <c:pt idx="157">
                  <c:v>-14.608302856241126</c:v>
                </c:pt>
                <c:pt idx="158">
                  <c:v>-16.676874671610197</c:v>
                </c:pt>
                <c:pt idx="159">
                  <c:v>-18.738131458572433</c:v>
                </c:pt>
                <c:pt idx="160">
                  <c:v>-20.791169081775905</c:v>
                </c:pt>
                <c:pt idx="161">
                  <c:v>-22.83508701106555</c:v>
                </c:pt>
                <c:pt idx="162">
                  <c:v>-24.868988716485458</c:v>
                </c:pt>
                <c:pt idx="163">
                  <c:v>-26.891982061526555</c:v>
                </c:pt>
                <c:pt idx="164">
                  <c:v>-28.9031796944471</c:v>
                </c:pt>
                <c:pt idx="165">
                  <c:v>-30.901699437494688</c:v>
                </c:pt>
                <c:pt idx="166">
                  <c:v>-32.88666467385827</c:v>
                </c:pt>
                <c:pt idx="167">
                  <c:v>-34.857204732181472</c:v>
                </c:pt>
                <c:pt idx="168">
                  <c:v>-36.812455268467744</c:v>
                </c:pt>
                <c:pt idx="169">
                  <c:v>-38.751558645210253</c:v>
                </c:pt>
                <c:pt idx="170">
                  <c:v>-40.673664307579983</c:v>
                </c:pt>
                <c:pt idx="171">
                  <c:v>-42.577929156507224</c:v>
                </c:pt>
                <c:pt idx="172">
                  <c:v>-44.463517918492713</c:v>
                </c:pt>
                <c:pt idx="173">
                  <c:v>-46.329603511986143</c:v>
                </c:pt>
                <c:pt idx="174">
                  <c:v>-48.175367410171496</c:v>
                </c:pt>
                <c:pt idx="175">
                  <c:v>-49.999999999999972</c:v>
                </c:pt>
                <c:pt idx="176">
                  <c:v>-51.802700937312999</c:v>
                </c:pt>
                <c:pt idx="177">
                  <c:v>-53.58267949789964</c:v>
                </c:pt>
                <c:pt idx="178">
                  <c:v>-55.339154924334352</c:v>
                </c:pt>
                <c:pt idx="179">
                  <c:v>-57.071356768443117</c:v>
                </c:pt>
                <c:pt idx="180">
                  <c:v>-58.778525229247272</c:v>
                </c:pt>
                <c:pt idx="181">
                  <c:v>-60.459911486237438</c:v>
                </c:pt>
                <c:pt idx="182">
                  <c:v>-62.114778027830994</c:v>
                </c:pt>
                <c:pt idx="183">
                  <c:v>-63.742398974868934</c:v>
                </c:pt>
                <c:pt idx="184">
                  <c:v>-65.342060399010506</c:v>
                </c:pt>
                <c:pt idx="185">
                  <c:v>-66.913060635885785</c:v>
                </c:pt>
                <c:pt idx="186">
                  <c:v>-68.454710592868835</c:v>
                </c:pt>
                <c:pt idx="187">
                  <c:v>-69.966334051336503</c:v>
                </c:pt>
                <c:pt idx="188">
                  <c:v>-71.447267963280311</c:v>
                </c:pt>
                <c:pt idx="189">
                  <c:v>-72.896862742141138</c:v>
                </c:pt>
                <c:pt idx="190">
                  <c:v>-74.314482547739402</c:v>
                </c:pt>
                <c:pt idx="191">
                  <c:v>-75.699505565175627</c:v>
                </c:pt>
                <c:pt idx="192">
                  <c:v>-77.051324277578885</c:v>
                </c:pt>
                <c:pt idx="193">
                  <c:v>-78.369345732583966</c:v>
                </c:pt>
                <c:pt idx="194">
                  <c:v>-79.652991802419592</c:v>
                </c:pt>
                <c:pt idx="195">
                  <c:v>-80.901699437494727</c:v>
                </c:pt>
                <c:pt idx="196">
                  <c:v>-82.114920913370369</c:v>
                </c:pt>
                <c:pt idx="197">
                  <c:v>-83.292124071009937</c:v>
                </c:pt>
                <c:pt idx="198">
                  <c:v>-84.432792550201484</c:v>
                </c:pt>
                <c:pt idx="199">
                  <c:v>-85.536426016050655</c:v>
                </c:pt>
                <c:pt idx="200">
                  <c:v>-86.602540378443834</c:v>
                </c:pt>
                <c:pt idx="201">
                  <c:v>-87.630668004386308</c:v>
                </c:pt>
                <c:pt idx="202">
                  <c:v>-88.620357923121446</c:v>
                </c:pt>
                <c:pt idx="203">
                  <c:v>-89.571176023941248</c:v>
                </c:pt>
                <c:pt idx="204">
                  <c:v>-90.482705246601938</c:v>
                </c:pt>
                <c:pt idx="205">
                  <c:v>-91.354545764260052</c:v>
                </c:pt>
                <c:pt idx="206">
                  <c:v>-92.186315158850036</c:v>
                </c:pt>
                <c:pt idx="207">
                  <c:v>-92.977648588825119</c:v>
                </c:pt>
                <c:pt idx="208">
                  <c:v>-93.728198949189149</c:v>
                </c:pt>
                <c:pt idx="209">
                  <c:v>-94.437637023748096</c:v>
                </c:pt>
                <c:pt idx="210">
                  <c:v>-95.10565162951535</c:v>
                </c:pt>
                <c:pt idx="211">
                  <c:v>-95.73194975320672</c:v>
                </c:pt>
                <c:pt idx="212">
                  <c:v>-96.316256679765814</c:v>
                </c:pt>
                <c:pt idx="213">
                  <c:v>-96.858316112863093</c:v>
                </c:pt>
                <c:pt idx="214">
                  <c:v>-97.35789028731601</c:v>
                </c:pt>
                <c:pt idx="215">
                  <c:v>-97.814760073380555</c:v>
                </c:pt>
                <c:pt idx="216">
                  <c:v>-98.228725072868855</c:v>
                </c:pt>
                <c:pt idx="217">
                  <c:v>-98.599603707050491</c:v>
                </c:pt>
                <c:pt idx="218">
                  <c:v>-98.927233296298823</c:v>
                </c:pt>
                <c:pt idx="219">
                  <c:v>-99.211470131447783</c:v>
                </c:pt>
                <c:pt idx="220">
                  <c:v>-99.452189536827333</c:v>
                </c:pt>
                <c:pt idx="221">
                  <c:v>-99.649285924950419</c:v>
                </c:pt>
                <c:pt idx="222">
                  <c:v>-99.80267284282715</c:v>
                </c:pt>
                <c:pt idx="223">
                  <c:v>-99.91228300988584</c:v>
                </c:pt>
                <c:pt idx="224">
                  <c:v>-99.978068347484552</c:v>
                </c:pt>
                <c:pt idx="225">
                  <c:v>-100</c:v>
                </c:pt>
                <c:pt idx="226">
                  <c:v>-99.978068347484552</c:v>
                </c:pt>
                <c:pt idx="227">
                  <c:v>-99.91228300988584</c:v>
                </c:pt>
                <c:pt idx="228">
                  <c:v>-99.80267284282715</c:v>
                </c:pt>
                <c:pt idx="229">
                  <c:v>-99.649285924950433</c:v>
                </c:pt>
                <c:pt idx="230">
                  <c:v>-99.452189536827333</c:v>
                </c:pt>
                <c:pt idx="231">
                  <c:v>-99.211470131447797</c:v>
                </c:pt>
                <c:pt idx="232">
                  <c:v>-98.927233296298837</c:v>
                </c:pt>
                <c:pt idx="233">
                  <c:v>-98.599603707050505</c:v>
                </c:pt>
                <c:pt idx="234">
                  <c:v>-98.228725072868869</c:v>
                </c:pt>
                <c:pt idx="235">
                  <c:v>-97.814760073380583</c:v>
                </c:pt>
                <c:pt idx="236">
                  <c:v>-97.357890287316025</c:v>
                </c:pt>
                <c:pt idx="237">
                  <c:v>-96.858316112863136</c:v>
                </c:pt>
                <c:pt idx="238">
                  <c:v>-96.316256679765814</c:v>
                </c:pt>
                <c:pt idx="239">
                  <c:v>-95.731949753206749</c:v>
                </c:pt>
                <c:pt idx="240">
                  <c:v>-95.105651629515364</c:v>
                </c:pt>
                <c:pt idx="241">
                  <c:v>-94.437637023748124</c:v>
                </c:pt>
                <c:pt idx="242">
                  <c:v>-93.728198949189192</c:v>
                </c:pt>
                <c:pt idx="243">
                  <c:v>-92.977648588825161</c:v>
                </c:pt>
                <c:pt idx="244">
                  <c:v>-92.186315158850078</c:v>
                </c:pt>
                <c:pt idx="245">
                  <c:v>-91.354545764260109</c:v>
                </c:pt>
                <c:pt idx="246">
                  <c:v>-90.482705246601995</c:v>
                </c:pt>
                <c:pt idx="247">
                  <c:v>-89.571176023941305</c:v>
                </c:pt>
                <c:pt idx="248">
                  <c:v>-88.620357923121503</c:v>
                </c:pt>
                <c:pt idx="249">
                  <c:v>-87.630668004386379</c:v>
                </c:pt>
                <c:pt idx="250">
                  <c:v>-86.602540378443905</c:v>
                </c:pt>
                <c:pt idx="251">
                  <c:v>-85.536426016050683</c:v>
                </c:pt>
                <c:pt idx="252">
                  <c:v>-84.432792550201555</c:v>
                </c:pt>
                <c:pt idx="253">
                  <c:v>-83.292124071009965</c:v>
                </c:pt>
                <c:pt idx="254">
                  <c:v>-82.11492091337044</c:v>
                </c:pt>
                <c:pt idx="255">
                  <c:v>-80.901699437494756</c:v>
                </c:pt>
                <c:pt idx="256">
                  <c:v>-79.652991802419677</c:v>
                </c:pt>
                <c:pt idx="257">
                  <c:v>-78.369345732584037</c:v>
                </c:pt>
                <c:pt idx="258">
                  <c:v>-77.051324277578956</c:v>
                </c:pt>
                <c:pt idx="259">
                  <c:v>-75.699505565175713</c:v>
                </c:pt>
                <c:pt idx="260">
                  <c:v>-74.314482547739459</c:v>
                </c:pt>
                <c:pt idx="261">
                  <c:v>-72.896862742141209</c:v>
                </c:pt>
                <c:pt idx="262">
                  <c:v>-71.447267963280368</c:v>
                </c:pt>
                <c:pt idx="263">
                  <c:v>-69.966334051336602</c:v>
                </c:pt>
                <c:pt idx="264">
                  <c:v>-68.454710592868892</c:v>
                </c:pt>
                <c:pt idx="265">
                  <c:v>-66.913060635885884</c:v>
                </c:pt>
                <c:pt idx="266">
                  <c:v>-65.342060399010577</c:v>
                </c:pt>
                <c:pt idx="267">
                  <c:v>-63.742398974869033</c:v>
                </c:pt>
                <c:pt idx="268">
                  <c:v>-62.114778027831065</c:v>
                </c:pt>
                <c:pt idx="269">
                  <c:v>-60.459911486237537</c:v>
                </c:pt>
                <c:pt idx="270">
                  <c:v>-58.778525229247336</c:v>
                </c:pt>
                <c:pt idx="271">
                  <c:v>-57.071356768443223</c:v>
                </c:pt>
                <c:pt idx="272">
                  <c:v>-55.339154924334501</c:v>
                </c:pt>
                <c:pt idx="273">
                  <c:v>-53.582679497899711</c:v>
                </c:pt>
                <c:pt idx="274">
                  <c:v>-51.802700937313105</c:v>
                </c:pt>
                <c:pt idx="275">
                  <c:v>-50.000000000000043</c:v>
                </c:pt>
                <c:pt idx="276">
                  <c:v>-48.17536741017161</c:v>
                </c:pt>
                <c:pt idx="277">
                  <c:v>-46.329603511986214</c:v>
                </c:pt>
                <c:pt idx="278">
                  <c:v>-44.463517918492826</c:v>
                </c:pt>
                <c:pt idx="279">
                  <c:v>-42.577929156507302</c:v>
                </c:pt>
                <c:pt idx="280">
                  <c:v>-40.67366430758009</c:v>
                </c:pt>
                <c:pt idx="281">
                  <c:v>-38.751558645210324</c:v>
                </c:pt>
                <c:pt idx="282">
                  <c:v>-36.812455268467872</c:v>
                </c:pt>
                <c:pt idx="283">
                  <c:v>-34.85720473218155</c:v>
                </c:pt>
                <c:pt idx="284">
                  <c:v>-32.886664673858391</c:v>
                </c:pt>
                <c:pt idx="285">
                  <c:v>-30.901699437494852</c:v>
                </c:pt>
                <c:pt idx="286">
                  <c:v>-28.903179694447225</c:v>
                </c:pt>
                <c:pt idx="287">
                  <c:v>-26.891982061526669</c:v>
                </c:pt>
                <c:pt idx="288">
                  <c:v>-24.868988716485536</c:v>
                </c:pt>
                <c:pt idx="289">
                  <c:v>-22.835087011065671</c:v>
                </c:pt>
                <c:pt idx="290">
                  <c:v>-20.791169081775987</c:v>
                </c:pt>
                <c:pt idx="291">
                  <c:v>-18.738131458572557</c:v>
                </c:pt>
                <c:pt idx="292">
                  <c:v>-16.676874671610271</c:v>
                </c:pt>
                <c:pt idx="293">
                  <c:v>-14.60830285624125</c:v>
                </c:pt>
                <c:pt idx="294">
                  <c:v>-12.533323356430465</c:v>
                </c:pt>
                <c:pt idx="295">
                  <c:v>-10.45284632676543</c:v>
                </c:pt>
                <c:pt idx="296">
                  <c:v>-8.3677843332315849</c:v>
                </c:pt>
                <c:pt idx="297">
                  <c:v>-6.2790519529314155</c:v>
                </c:pt>
                <c:pt idx="298">
                  <c:v>-4.1875653729199938</c:v>
                </c:pt>
                <c:pt idx="299">
                  <c:v>-2.0942419883357677</c:v>
                </c:pt>
                <c:pt idx="300">
                  <c:v>-1.1332081106818492E-13</c:v>
                </c:pt>
                <c:pt idx="301">
                  <c:v>2.09424198833563</c:v>
                </c:pt>
                <c:pt idx="302">
                  <c:v>4.1875653729198552</c:v>
                </c:pt>
                <c:pt idx="303">
                  <c:v>6.2790519529312778</c:v>
                </c:pt>
                <c:pt idx="304">
                  <c:v>8.3677843332314481</c:v>
                </c:pt>
                <c:pt idx="305">
                  <c:v>10.452846326765293</c:v>
                </c:pt>
                <c:pt idx="306">
                  <c:v>12.533323356430328</c:v>
                </c:pt>
                <c:pt idx="307">
                  <c:v>14.608302856241112</c:v>
                </c:pt>
                <c:pt idx="308">
                  <c:v>16.676874671610136</c:v>
                </c:pt>
                <c:pt idx="309">
                  <c:v>18.738131458572422</c:v>
                </c:pt>
                <c:pt idx="310">
                  <c:v>20.791169081775852</c:v>
                </c:pt>
                <c:pt idx="311">
                  <c:v>22.835087011065539</c:v>
                </c:pt>
                <c:pt idx="312">
                  <c:v>24.868988716485401</c:v>
                </c:pt>
                <c:pt idx="313">
                  <c:v>26.891982061526456</c:v>
                </c:pt>
                <c:pt idx="314">
                  <c:v>28.90317969444709</c:v>
                </c:pt>
                <c:pt idx="315">
                  <c:v>30.901699437494635</c:v>
                </c:pt>
                <c:pt idx="316">
                  <c:v>32.886664673858263</c:v>
                </c:pt>
                <c:pt idx="317">
                  <c:v>34.857204732181415</c:v>
                </c:pt>
                <c:pt idx="318">
                  <c:v>36.812455268467737</c:v>
                </c:pt>
                <c:pt idx="319">
                  <c:v>38.751558645210203</c:v>
                </c:pt>
                <c:pt idx="320">
                  <c:v>40.673664307579969</c:v>
                </c:pt>
                <c:pt idx="321">
                  <c:v>42.577929156507174</c:v>
                </c:pt>
                <c:pt idx="322">
                  <c:v>44.463517918492698</c:v>
                </c:pt>
                <c:pt idx="323">
                  <c:v>46.329603511986086</c:v>
                </c:pt>
                <c:pt idx="324">
                  <c:v>48.175367410171489</c:v>
                </c:pt>
                <c:pt idx="325">
                  <c:v>49.999999999999929</c:v>
                </c:pt>
                <c:pt idx="326">
                  <c:v>51.802700937312984</c:v>
                </c:pt>
                <c:pt idx="327">
                  <c:v>53.582679497899598</c:v>
                </c:pt>
                <c:pt idx="328">
                  <c:v>55.339154924334309</c:v>
                </c:pt>
                <c:pt idx="329">
                  <c:v>57.071356768443103</c:v>
                </c:pt>
                <c:pt idx="330">
                  <c:v>58.778525229247215</c:v>
                </c:pt>
                <c:pt idx="331">
                  <c:v>60.459911486237431</c:v>
                </c:pt>
                <c:pt idx="332">
                  <c:v>62.114778027830951</c:v>
                </c:pt>
                <c:pt idx="333">
                  <c:v>63.742398974868919</c:v>
                </c:pt>
                <c:pt idx="334">
                  <c:v>65.342060399010464</c:v>
                </c:pt>
                <c:pt idx="335">
                  <c:v>66.913060635885785</c:v>
                </c:pt>
                <c:pt idx="336">
                  <c:v>68.454710592868793</c:v>
                </c:pt>
                <c:pt idx="337">
                  <c:v>69.966334051336503</c:v>
                </c:pt>
                <c:pt idx="338">
                  <c:v>71.447267963280268</c:v>
                </c:pt>
                <c:pt idx="339">
                  <c:v>72.896862742141124</c:v>
                </c:pt>
                <c:pt idx="340">
                  <c:v>74.314482547739374</c:v>
                </c:pt>
                <c:pt idx="341">
                  <c:v>75.699505565175613</c:v>
                </c:pt>
                <c:pt idx="342">
                  <c:v>77.051324277578871</c:v>
                </c:pt>
                <c:pt idx="343">
                  <c:v>78.369345732583909</c:v>
                </c:pt>
                <c:pt idx="344">
                  <c:v>79.652991802419578</c:v>
                </c:pt>
                <c:pt idx="345">
                  <c:v>80.901699437494685</c:v>
                </c:pt>
                <c:pt idx="346">
                  <c:v>82.114920913370355</c:v>
                </c:pt>
                <c:pt idx="347">
                  <c:v>83.292124071009894</c:v>
                </c:pt>
                <c:pt idx="348">
                  <c:v>84.432792550201469</c:v>
                </c:pt>
                <c:pt idx="349">
                  <c:v>85.536426016050598</c:v>
                </c:pt>
                <c:pt idx="350">
                  <c:v>86.602540378443834</c:v>
                </c:pt>
                <c:pt idx="351">
                  <c:v>87.630668004386308</c:v>
                </c:pt>
                <c:pt idx="352">
                  <c:v>88.620357923121446</c:v>
                </c:pt>
                <c:pt idx="353">
                  <c:v>89.571176023941248</c:v>
                </c:pt>
                <c:pt idx="354">
                  <c:v>90.482705246601938</c:v>
                </c:pt>
                <c:pt idx="355">
                  <c:v>91.354545764260052</c:v>
                </c:pt>
                <c:pt idx="356">
                  <c:v>92.186315158850007</c:v>
                </c:pt>
                <c:pt idx="357">
                  <c:v>92.977648588825119</c:v>
                </c:pt>
                <c:pt idx="358">
                  <c:v>93.728198949189107</c:v>
                </c:pt>
                <c:pt idx="359">
                  <c:v>94.437637023748081</c:v>
                </c:pt>
                <c:pt idx="360">
                  <c:v>95.105651629515322</c:v>
                </c:pt>
                <c:pt idx="361">
                  <c:v>95.731949753206706</c:v>
                </c:pt>
                <c:pt idx="362">
                  <c:v>96.316256679765786</c:v>
                </c:pt>
                <c:pt idx="363">
                  <c:v>96.858316112863093</c:v>
                </c:pt>
                <c:pt idx="364">
                  <c:v>97.35789028731601</c:v>
                </c:pt>
                <c:pt idx="365">
                  <c:v>97.81476007338054</c:v>
                </c:pt>
                <c:pt idx="366">
                  <c:v>98.228725072868855</c:v>
                </c:pt>
                <c:pt idx="367">
                  <c:v>98.599603707050491</c:v>
                </c:pt>
                <c:pt idx="368">
                  <c:v>98.927233296298823</c:v>
                </c:pt>
                <c:pt idx="369">
                  <c:v>99.211470131447783</c:v>
                </c:pt>
                <c:pt idx="370">
                  <c:v>99.452189536827333</c:v>
                </c:pt>
                <c:pt idx="371">
                  <c:v>99.649285924950419</c:v>
                </c:pt>
                <c:pt idx="372">
                  <c:v>99.80267284282715</c:v>
                </c:pt>
                <c:pt idx="373">
                  <c:v>99.912283009885826</c:v>
                </c:pt>
                <c:pt idx="374">
                  <c:v>99.978068347484552</c:v>
                </c:pt>
                <c:pt idx="375">
                  <c:v>100</c:v>
                </c:pt>
                <c:pt idx="376">
                  <c:v>99.978068347484552</c:v>
                </c:pt>
                <c:pt idx="377">
                  <c:v>99.91228300988584</c:v>
                </c:pt>
                <c:pt idx="378">
                  <c:v>99.80267284282715</c:v>
                </c:pt>
                <c:pt idx="379">
                  <c:v>99.649285924950448</c:v>
                </c:pt>
                <c:pt idx="380">
                  <c:v>99.452189536827333</c:v>
                </c:pt>
                <c:pt idx="381">
                  <c:v>99.211470131447797</c:v>
                </c:pt>
                <c:pt idx="382">
                  <c:v>98.927233296298851</c:v>
                </c:pt>
                <c:pt idx="383">
                  <c:v>98.599603707050505</c:v>
                </c:pt>
                <c:pt idx="384">
                  <c:v>98.228725072868897</c:v>
                </c:pt>
                <c:pt idx="385">
                  <c:v>97.814760073380583</c:v>
                </c:pt>
                <c:pt idx="386">
                  <c:v>97.357890287316039</c:v>
                </c:pt>
                <c:pt idx="387">
                  <c:v>96.85831611286315</c:v>
                </c:pt>
                <c:pt idx="388">
                  <c:v>96.316256679765857</c:v>
                </c:pt>
                <c:pt idx="389">
                  <c:v>95.731949753206749</c:v>
                </c:pt>
                <c:pt idx="390">
                  <c:v>95.105651629515364</c:v>
                </c:pt>
                <c:pt idx="391">
                  <c:v>94.437637023748152</c:v>
                </c:pt>
                <c:pt idx="392">
                  <c:v>93.728198949189192</c:v>
                </c:pt>
                <c:pt idx="393">
                  <c:v>92.977648588825161</c:v>
                </c:pt>
                <c:pt idx="394">
                  <c:v>92.186315158850064</c:v>
                </c:pt>
                <c:pt idx="395">
                  <c:v>91.354545764260152</c:v>
                </c:pt>
                <c:pt idx="396">
                  <c:v>90.482705246601995</c:v>
                </c:pt>
                <c:pt idx="397">
                  <c:v>89.571176023941319</c:v>
                </c:pt>
                <c:pt idx="398">
                  <c:v>88.620357923121475</c:v>
                </c:pt>
                <c:pt idx="399">
                  <c:v>87.630668004386422</c:v>
                </c:pt>
                <c:pt idx="400">
                  <c:v>86.602540378443919</c:v>
                </c:pt>
              </c:numCache>
            </c:numRef>
          </c:yVal>
          <c:smooth val="1"/>
        </c:ser>
        <c:ser>
          <c:idx val="1"/>
          <c:order val="1"/>
          <c:tx>
            <c:v>CURRENT POSITION</c:v>
          </c:tx>
          <c:spPr>
            <a:ln>
              <a:noFill/>
            </a:ln>
          </c:spPr>
          <c:marker>
            <c:symbol val="square"/>
            <c:size val="5"/>
          </c:marker>
          <c:trendline>
            <c:trendlineType val="linear"/>
            <c:dispRSqr val="0"/>
            <c:dispEq val="0"/>
          </c:trendline>
          <c:xVal>
            <c:numRef>
              <c:f>graph!$B$13</c:f>
              <c:numCache>
                <c:formatCode>General</c:formatCode>
                <c:ptCount val="1"/>
                <c:pt idx="0">
                  <c:v>5.4947191822063663</c:v>
                </c:pt>
              </c:numCache>
            </c:numRef>
          </c:xVal>
          <c:yVal>
            <c:numRef>
              <c:f>graph!$B$14</c:f>
              <c:numCache>
                <c:formatCode>General</c:formatCode>
                <c:ptCount val="1"/>
                <c:pt idx="0">
                  <c:v>22.813550655680572</c:v>
                </c:pt>
              </c:numCache>
            </c:numRef>
          </c:yVal>
          <c:smooth val="1"/>
        </c:ser>
        <c:ser>
          <c:idx val="3"/>
          <c:order val="2"/>
          <c:tx>
            <c:v>centripetal</c:v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xVal>
            <c:numRef>
              <c:f>graph!$G$23:$G$27</c:f>
              <c:numCache>
                <c:formatCode>General</c:formatCode>
                <c:ptCount val="5"/>
                <c:pt idx="0">
                  <c:v>5.4947191822063663</c:v>
                </c:pt>
                <c:pt idx="1">
                  <c:v>5.5411137392237713</c:v>
                </c:pt>
                <c:pt idx="2" formatCode="0.00">
                  <c:v>5.5370430771886641</c:v>
                </c:pt>
                <c:pt idx="3" formatCode="0.00">
                  <c:v>5.5359054898553968</c:v>
                </c:pt>
                <c:pt idx="4">
                  <c:v>5.5411137392237713</c:v>
                </c:pt>
              </c:numCache>
            </c:numRef>
          </c:xVal>
          <c:yVal>
            <c:numRef>
              <c:f>graph!$H$23:$H$27</c:f>
              <c:numCache>
                <c:formatCode>General</c:formatCode>
                <c:ptCount val="5"/>
                <c:pt idx="0">
                  <c:v>22.813550655680572</c:v>
                </c:pt>
                <c:pt idx="1">
                  <c:v>22.802174782347898</c:v>
                </c:pt>
                <c:pt idx="2" formatCode="0.00">
                  <c:v>22.805632097532037</c:v>
                </c:pt>
                <c:pt idx="3" formatCode="0.00">
                  <c:v>22.800992641830295</c:v>
                </c:pt>
                <c:pt idx="4">
                  <c:v>22.802174782347898</c:v>
                </c:pt>
              </c:numCache>
            </c:numRef>
          </c:yVal>
          <c:smooth val="1"/>
        </c:ser>
        <c:ser>
          <c:idx val="5"/>
          <c:order val="3"/>
          <c:tx>
            <c:v>circle</c:v>
          </c:tx>
          <c:marker>
            <c:symbol val="none"/>
          </c:marker>
          <c:xVal>
            <c:numRef>
              <c:f>graph!$AB$23:$AB$73</c:f>
              <c:numCache>
                <c:formatCode>General</c:formatCode>
                <c:ptCount val="51"/>
                <c:pt idx="0">
                  <c:v>3637.1717106979004</c:v>
                </c:pt>
                <c:pt idx="1">
                  <c:v>3593.6444789476768</c:v>
                </c:pt>
                <c:pt idx="2">
                  <c:v>3521.8622184877504</c:v>
                </c:pt>
                <c:pt idx="3">
                  <c:v>3422.9569784462187</c:v>
                </c:pt>
                <c:pt idx="4">
                  <c:v>3298.4885535416624</c:v>
                </c:pt>
                <c:pt idx="5">
                  <c:v>3150.4198851886595</c:v>
                </c:pt>
                <c:pt idx="6">
                  <c:v>2981.0861047390727</c:v>
                </c:pt>
                <c:pt idx="7">
                  <c:v>2793.1577070656876</c:v>
                </c:pt>
                <c:pt idx="8">
                  <c:v>2589.5984352627984</c:v>
                </c:pt>
                <c:pt idx="9">
                  <c:v>2373.6185406471504</c:v>
                </c:pt>
                <c:pt idx="10">
                  <c:v>2148.6241551769681</c:v>
                </c:pt>
                <c:pt idx="11">
                  <c:v>1918.1635747162472</c:v>
                </c:pt>
                <c:pt idx="12">
                  <c:v>1685.8713002893305</c:v>
                </c:pt>
                <c:pt idx="13">
                  <c:v>1455.4107198286097</c:v>
                </c:pt>
                <c:pt idx="14">
                  <c:v>1230.4163343584271</c:v>
                </c:pt>
                <c:pt idx="15">
                  <c:v>1014.4364397427788</c:v>
                </c:pt>
                <c:pt idx="16">
                  <c:v>810.87716793988909</c:v>
                </c:pt>
                <c:pt idx="17">
                  <c:v>622.9487702665042</c:v>
                </c:pt>
                <c:pt idx="18">
                  <c:v>453.6149898169167</c:v>
                </c:pt>
                <c:pt idx="19">
                  <c:v>305.54632146391373</c:v>
                </c:pt>
                <c:pt idx="20">
                  <c:v>181.07789655935744</c:v>
                </c:pt>
                <c:pt idx="21">
                  <c:v>82.172656517825317</c:v>
                </c:pt>
                <c:pt idx="22">
                  <c:v>10.390396057899125</c:v>
                </c:pt>
                <c:pt idx="23">
                  <c:v>-33.136835692324439</c:v>
                </c:pt>
                <c:pt idx="24">
                  <c:v>-47.722588286236032</c:v>
                </c:pt>
                <c:pt idx="25">
                  <c:v>-33.136835692323757</c:v>
                </c:pt>
                <c:pt idx="26">
                  <c:v>10.390396057900261</c:v>
                </c:pt>
                <c:pt idx="27">
                  <c:v>82.172656517826908</c:v>
                </c:pt>
                <c:pt idx="28">
                  <c:v>181.07789655935949</c:v>
                </c:pt>
                <c:pt idx="29">
                  <c:v>305.54632146391623</c:v>
                </c:pt>
                <c:pt idx="30">
                  <c:v>453.61498981691966</c:v>
                </c:pt>
                <c:pt idx="31">
                  <c:v>622.94877026650693</c:v>
                </c:pt>
                <c:pt idx="32">
                  <c:v>810.87716793989216</c:v>
                </c:pt>
                <c:pt idx="33">
                  <c:v>1014.4364397427821</c:v>
                </c:pt>
                <c:pt idx="34">
                  <c:v>1230.4163343584305</c:v>
                </c:pt>
                <c:pt idx="35">
                  <c:v>1455.4107198286135</c:v>
                </c:pt>
                <c:pt idx="36">
                  <c:v>1685.8713002893351</c:v>
                </c:pt>
                <c:pt idx="37">
                  <c:v>1918.163574716252</c:v>
                </c:pt>
                <c:pt idx="38">
                  <c:v>2148.6241551769735</c:v>
                </c:pt>
                <c:pt idx="39">
                  <c:v>2373.6185406471559</c:v>
                </c:pt>
                <c:pt idx="40">
                  <c:v>2589.5984352628038</c:v>
                </c:pt>
                <c:pt idx="41">
                  <c:v>2793.1577070656936</c:v>
                </c:pt>
                <c:pt idx="42">
                  <c:v>2981.0861047390781</c:v>
                </c:pt>
                <c:pt idx="43">
                  <c:v>3150.4198851886649</c:v>
                </c:pt>
                <c:pt idx="44">
                  <c:v>3298.488553541667</c:v>
                </c:pt>
                <c:pt idx="45">
                  <c:v>3422.9569784462228</c:v>
                </c:pt>
                <c:pt idx="46">
                  <c:v>3521.862218487754</c:v>
                </c:pt>
                <c:pt idx="47">
                  <c:v>3593.6444789476791</c:v>
                </c:pt>
                <c:pt idx="48">
                  <c:v>3637.1717106979013</c:v>
                </c:pt>
                <c:pt idx="49">
                  <c:v>3651.7574632918122</c:v>
                </c:pt>
                <c:pt idx="50">
                  <c:v>3651.7574632918122</c:v>
                </c:pt>
              </c:numCache>
            </c:numRef>
          </c:xVal>
          <c:yVal>
            <c:numRef>
              <c:f>graph!$AC$23:$AC$73</c:f>
              <c:numCache>
                <c:formatCode>General</c:formatCode>
                <c:ptCount val="51"/>
                <c:pt idx="0">
                  <c:v>-185.85713129793552</c:v>
                </c:pt>
                <c:pt idx="1">
                  <c:v>42.320608314394519</c:v>
                </c:pt>
                <c:pt idx="2">
                  <c:v>263.24368959313574</c:v>
                </c:pt>
                <c:pt idx="3">
                  <c:v>473.42802357347057</c:v>
                </c:pt>
                <c:pt idx="4">
                  <c:v>669.55887775049382</c:v>
                </c:pt>
                <c:pt idx="5">
                  <c:v>848.54315139094092</c:v>
                </c:pt>
                <c:pt idx="6">
                  <c:v>1007.5581555794795</c:v>
                </c:pt>
                <c:pt idx="7">
                  <c:v>1144.096128709097</c:v>
                </c:pt>
                <c:pt idx="8">
                  <c:v>1256.0037853797082</c:v>
                </c:pt>
                <c:pt idx="9">
                  <c:v>1341.5162749952233</c:v>
                </c:pt>
                <c:pt idx="10">
                  <c:v>1399.2850145117206</c:v>
                </c:pt>
                <c:pt idx="11">
                  <c:v>1428.3989563976531</c:v>
                </c:pt>
                <c:pt idx="12">
                  <c:v>1428.3989563976531</c:v>
                </c:pt>
                <c:pt idx="13">
                  <c:v>1399.2850145117209</c:v>
                </c:pt>
                <c:pt idx="14">
                  <c:v>1341.5162749952237</c:v>
                </c:pt>
                <c:pt idx="15">
                  <c:v>1256.0037853797085</c:v>
                </c:pt>
                <c:pt idx="16">
                  <c:v>1144.0961287090975</c:v>
                </c:pt>
                <c:pt idx="17">
                  <c:v>1007.5581555794797</c:v>
                </c:pt>
                <c:pt idx="18">
                  <c:v>848.54315139094069</c:v>
                </c:pt>
                <c:pt idx="19">
                  <c:v>669.55887775049337</c:v>
                </c:pt>
                <c:pt idx="20">
                  <c:v>473.42802357346966</c:v>
                </c:pt>
                <c:pt idx="21">
                  <c:v>263.24368959313449</c:v>
                </c:pt>
                <c:pt idx="22">
                  <c:v>42.320608314392985</c:v>
                </c:pt>
                <c:pt idx="23">
                  <c:v>-185.85713129793749</c:v>
                </c:pt>
                <c:pt idx="24">
                  <c:v>-417.69102998339571</c:v>
                </c:pt>
                <c:pt idx="25">
                  <c:v>-649.52492866885393</c:v>
                </c:pt>
                <c:pt idx="26">
                  <c:v>-877.70266828118429</c:v>
                </c:pt>
                <c:pt idx="27">
                  <c:v>-1098.6257495599257</c:v>
                </c:pt>
                <c:pt idx="28">
                  <c:v>-1308.8100835402606</c:v>
                </c:pt>
                <c:pt idx="29">
                  <c:v>-1504.940937717284</c:v>
                </c:pt>
                <c:pt idx="30">
                  <c:v>-1683.9252113577309</c:v>
                </c:pt>
                <c:pt idx="31">
                  <c:v>-1842.9402155462687</c:v>
                </c:pt>
                <c:pt idx="32">
                  <c:v>-1979.4781886758863</c:v>
                </c:pt>
                <c:pt idx="33">
                  <c:v>-2091.3858453464973</c:v>
                </c:pt>
                <c:pt idx="34">
                  <c:v>-2176.8983349620121</c:v>
                </c:pt>
                <c:pt idx="35">
                  <c:v>-2234.6670744785088</c:v>
                </c:pt>
                <c:pt idx="36">
                  <c:v>-2263.7810163644403</c:v>
                </c:pt>
                <c:pt idx="37">
                  <c:v>-2263.7810163644399</c:v>
                </c:pt>
                <c:pt idx="38">
                  <c:v>-2234.6670744785069</c:v>
                </c:pt>
                <c:pt idx="39">
                  <c:v>-2176.8983349620084</c:v>
                </c:pt>
                <c:pt idx="40">
                  <c:v>-2091.3858453464927</c:v>
                </c:pt>
                <c:pt idx="41">
                  <c:v>-1979.4781886758806</c:v>
                </c:pt>
                <c:pt idx="42">
                  <c:v>-1842.9402155462622</c:v>
                </c:pt>
                <c:pt idx="43">
                  <c:v>-1683.9252113577224</c:v>
                </c:pt>
                <c:pt idx="44">
                  <c:v>-1504.9409377172744</c:v>
                </c:pt>
                <c:pt idx="45">
                  <c:v>-1308.8100835402504</c:v>
                </c:pt>
                <c:pt idx="46">
                  <c:v>-1098.6257495599148</c:v>
                </c:pt>
                <c:pt idx="47">
                  <c:v>-877.70266828117292</c:v>
                </c:pt>
                <c:pt idx="48">
                  <c:v>-649.52492866884245</c:v>
                </c:pt>
                <c:pt idx="49">
                  <c:v>-417.69102998338411</c:v>
                </c:pt>
                <c:pt idx="50">
                  <c:v>-417.69102998339349</c:v>
                </c:pt>
              </c:numCache>
            </c:numRef>
          </c:yVal>
          <c:smooth val="1"/>
        </c:ser>
        <c:ser>
          <c:idx val="6"/>
          <c:order val="4"/>
          <c:tx>
            <c:v>total acc</c:v>
          </c:tx>
          <c:spPr>
            <a:ln>
              <a:solidFill>
                <a:schemeClr val="accent6">
                  <a:lumMod val="50000"/>
                </a:schemeClr>
              </a:solidFill>
            </a:ln>
          </c:spPr>
          <c:marker>
            <c:symbol val="none"/>
          </c:marker>
          <c:dPt>
            <c:idx val="1"/>
            <c:bubble3D val="0"/>
            <c:spPr>
              <a:ln w="31750">
                <a:solidFill>
                  <a:schemeClr val="accent6">
                    <a:lumMod val="50000"/>
                  </a:schemeClr>
                </a:solidFill>
              </a:ln>
            </c:spPr>
          </c:dPt>
          <c:xVal>
            <c:numRef>
              <c:f>graph!$Q$27:$Q$31</c:f>
              <c:numCache>
                <c:formatCode>General</c:formatCode>
                <c:ptCount val="5"/>
                <c:pt idx="0">
                  <c:v>5.4947191822063663</c:v>
                </c:pt>
                <c:pt idx="1">
                  <c:v>4.5885375404118918</c:v>
                </c:pt>
                <c:pt idx="2" formatCode="0.00">
                  <c:v>4.8739704672345328</c:v>
                </c:pt>
                <c:pt idx="3" formatCode="0.00">
                  <c:v>4.4843409419481457</c:v>
                </c:pt>
                <c:pt idx="4">
                  <c:v>4.5885375404118918</c:v>
                </c:pt>
              </c:numCache>
            </c:numRef>
          </c:xVal>
          <c:yVal>
            <c:numRef>
              <c:f>graph!$R$27:$R$31</c:f>
              <c:numCache>
                <c:formatCode>General</c:formatCode>
                <c:ptCount val="5"/>
                <c:pt idx="0">
                  <c:v>22.813550655680572</c:v>
                </c:pt>
                <c:pt idx="1">
                  <c:v>18.917255402816693</c:v>
                </c:pt>
                <c:pt idx="2" formatCode="0.00">
                  <c:v>19.261575846013358</c:v>
                </c:pt>
                <c:pt idx="3" formatCode="0.00">
                  <c:v>19.352194010192807</c:v>
                </c:pt>
                <c:pt idx="4">
                  <c:v>18.917255402816693</c:v>
                </c:pt>
              </c:numCache>
            </c:numRef>
          </c:yVal>
          <c:smooth val="0"/>
        </c:ser>
        <c:ser>
          <c:idx val="2"/>
          <c:order val="5"/>
          <c:tx>
            <c:v>VELOCITY</c:v>
          </c:tx>
          <c:spPr>
            <a:ln w="41275">
              <a:solidFill>
                <a:srgbClr val="FF0000"/>
              </a:solidFill>
            </a:ln>
          </c:spPr>
          <c:marker>
            <c:symbol val="none"/>
          </c:marker>
          <c:dPt>
            <c:idx val="1"/>
            <c:bubble3D val="0"/>
          </c:dPt>
          <c:dPt>
            <c:idx val="3"/>
            <c:bubble3D val="0"/>
          </c:dPt>
          <c:xVal>
            <c:numRef>
              <c:f>graph!$D$23:$D$27</c:f>
              <c:numCache>
                <c:formatCode>General</c:formatCode>
                <c:ptCount val="5"/>
                <c:pt idx="0" formatCode="0.00000">
                  <c:v>5.4947191822063663</c:v>
                </c:pt>
                <c:pt idx="1">
                  <c:v>3.2561651149984483</c:v>
                </c:pt>
                <c:pt idx="2" formatCode="0.00">
                  <c:v>3.9364985488141562</c:v>
                </c:pt>
                <c:pt idx="3" formatCode="0.00">
                  <c:v>3.0235424946243232</c:v>
                </c:pt>
                <c:pt idx="4">
                  <c:v>3.2561651149984483</c:v>
                </c:pt>
              </c:numCache>
            </c:numRef>
          </c:xVal>
          <c:yVal>
            <c:numRef>
              <c:f>graph!$E$23:$E$27</c:f>
              <c:numCache>
                <c:formatCode>General</c:formatCode>
                <c:ptCount val="5"/>
                <c:pt idx="0" formatCode="0.00000">
                  <c:v>22.813550655680572</c:v>
                </c:pt>
                <c:pt idx="1">
                  <c:v>13.683990113782242</c:v>
                </c:pt>
                <c:pt idx="2" formatCode="0.00">
                  <c:v>14.485018464611679</c:v>
                </c:pt>
                <c:pt idx="3" formatCode="0.00">
                  <c:v>14.70887387133247</c:v>
                </c:pt>
                <c:pt idx="4">
                  <c:v>13.683990113782242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732352"/>
        <c:axId val="189734272"/>
      </c:scatterChart>
      <c:valAx>
        <c:axId val="189732352"/>
        <c:scaling>
          <c:orientation val="minMax"/>
          <c:max val="250"/>
          <c:min val="-50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x</a:t>
                </a:r>
                <a:endParaRPr lang="el-GR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89734272"/>
        <c:crosses val="autoZero"/>
        <c:crossBetween val="midCat"/>
        <c:majorUnit val="50"/>
        <c:minorUnit val="10"/>
      </c:valAx>
      <c:valAx>
        <c:axId val="189734272"/>
        <c:scaling>
          <c:orientation val="minMax"/>
          <c:max val="200"/>
          <c:min val="-200"/>
        </c:scaling>
        <c:delete val="0"/>
        <c:axPos val="l"/>
        <c:majorGridlines/>
        <c:minorGridlines/>
        <c:numFmt formatCode="General" sourceLinked="1"/>
        <c:majorTickMark val="out"/>
        <c:minorTickMark val="none"/>
        <c:tickLblPos val="nextTo"/>
        <c:crossAx val="189732352"/>
        <c:crosses val="autoZero"/>
        <c:crossBetween val="midCat"/>
      </c:valAx>
    </c:plotArea>
    <c:legend>
      <c:legendPos val="r"/>
      <c:legendEntry>
        <c:idx val="6"/>
        <c:delete val="1"/>
      </c:legendEntry>
      <c:layout>
        <c:manualLayout>
          <c:xMode val="edge"/>
          <c:yMode val="edge"/>
          <c:x val="0.73579441954384217"/>
          <c:y val="0.38758080024770508"/>
          <c:w val="0.23803939110799921"/>
          <c:h val="0.25679872211736998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Scroll" dx="18" fmlaLink="$Z$1" horiz="1" max="500" page="4" val="6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w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392111</xdr:colOff>
      <xdr:row>3</xdr:row>
      <xdr:rowOff>148544</xdr:rowOff>
    </xdr:from>
    <xdr:to>
      <xdr:col>15</xdr:col>
      <xdr:colOff>101600</xdr:colOff>
      <xdr:row>31</xdr:row>
      <xdr:rowOff>124732</xdr:rowOff>
    </xdr:to>
    <xdr:graphicFrame macro="">
      <xdr:nvGraphicFramePr>
        <xdr:cNvPr id="2" name="Γράφημα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314325</xdr:colOff>
          <xdr:row>0</xdr:row>
          <xdr:rowOff>133350</xdr:rowOff>
        </xdr:from>
        <xdr:to>
          <xdr:col>10</xdr:col>
          <xdr:colOff>57150</xdr:colOff>
          <xdr:row>2</xdr:row>
          <xdr:rowOff>19050</xdr:rowOff>
        </xdr:to>
        <xdr:sp macro="" textlink="">
          <xdr:nvSpPr>
            <xdr:cNvPr id="1026" name="Scroll Bar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266700</xdr:colOff>
          <xdr:row>5</xdr:row>
          <xdr:rowOff>180975</xdr:rowOff>
        </xdr:from>
        <xdr:to>
          <xdr:col>17</xdr:col>
          <xdr:colOff>123825</xdr:colOff>
          <xdr:row>8</xdr:row>
          <xdr:rowOff>114300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552450</xdr:colOff>
          <xdr:row>2</xdr:row>
          <xdr:rowOff>123825</xdr:rowOff>
        </xdr:from>
        <xdr:to>
          <xdr:col>35</xdr:col>
          <xdr:colOff>238125</xdr:colOff>
          <xdr:row>6</xdr:row>
          <xdr:rowOff>0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438150</xdr:colOff>
          <xdr:row>2</xdr:row>
          <xdr:rowOff>28575</xdr:rowOff>
        </xdr:from>
        <xdr:to>
          <xdr:col>23</xdr:col>
          <xdr:colOff>123825</xdr:colOff>
          <xdr:row>5</xdr:row>
          <xdr:rowOff>95250</xdr:rowOff>
        </xdr:to>
        <xdr:sp macro="" textlink="">
          <xdr:nvSpPr>
            <xdr:cNvPr id="1030" name="Object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25</xdr:col>
          <xdr:colOff>323850</xdr:colOff>
          <xdr:row>0</xdr:row>
          <xdr:rowOff>0</xdr:rowOff>
        </xdr:from>
        <xdr:to>
          <xdr:col>27</xdr:col>
          <xdr:colOff>9525</xdr:colOff>
          <xdr:row>2</xdr:row>
          <xdr:rowOff>123825</xdr:rowOff>
        </xdr:to>
        <xdr:sp macro="" textlink="">
          <xdr:nvSpPr>
            <xdr:cNvPr id="2053" name="Object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25</xdr:col>
          <xdr:colOff>495300</xdr:colOff>
          <xdr:row>2</xdr:row>
          <xdr:rowOff>95250</xdr:rowOff>
        </xdr:from>
        <xdr:to>
          <xdr:col>26</xdr:col>
          <xdr:colOff>1238250</xdr:colOff>
          <xdr:row>5</xdr:row>
          <xdr:rowOff>76200</xdr:rowOff>
        </xdr:to>
        <xdr:sp macro="" textlink="">
          <xdr:nvSpPr>
            <xdr:cNvPr id="2052" name="Object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Relationship Id="rId9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3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oleObject5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Φύλλο1"/>
  <dimension ref="A1:AF484"/>
  <sheetViews>
    <sheetView tabSelected="1" topLeftCell="A2" zoomScaleNormal="100" workbookViewId="0">
      <selection activeCell="D4" sqref="D4"/>
    </sheetView>
  </sheetViews>
  <sheetFormatPr defaultRowHeight="15"/>
  <cols>
    <col min="1" max="1" width="12" customWidth="1"/>
    <col min="2" max="2" width="12.7109375" bestFit="1" customWidth="1"/>
    <col min="3" max="3" width="10.28515625" bestFit="1" customWidth="1"/>
    <col min="4" max="4" width="10.140625" customWidth="1"/>
    <col min="5" max="5" width="10.85546875" customWidth="1"/>
    <col min="7" max="7" width="10.28515625" bestFit="1" customWidth="1"/>
    <col min="18" max="18" width="10.28515625" bestFit="1" customWidth="1"/>
  </cols>
  <sheetData>
    <row r="1" spans="1:32">
      <c r="A1" s="1" t="s">
        <v>0</v>
      </c>
      <c r="F1" s="37"/>
      <c r="G1" s="37"/>
      <c r="H1" s="37"/>
      <c r="I1" s="37"/>
      <c r="J1" s="37"/>
      <c r="K1" s="37"/>
      <c r="Z1">
        <v>61</v>
      </c>
    </row>
    <row r="2" spans="1:32">
      <c r="F2" s="37" t="s">
        <v>118</v>
      </c>
      <c r="G2" s="37"/>
      <c r="H2" s="37"/>
      <c r="I2" s="37"/>
      <c r="J2" s="37"/>
      <c r="K2" s="37"/>
      <c r="L2">
        <f>Z1*dt</f>
        <v>6.1000000000000005</v>
      </c>
      <c r="AF2">
        <v>190</v>
      </c>
    </row>
    <row r="3" spans="1:32">
      <c r="A3" s="1" t="s">
        <v>1</v>
      </c>
      <c r="B3">
        <v>150</v>
      </c>
      <c r="F3" s="37"/>
      <c r="G3" s="37"/>
      <c r="H3" s="37"/>
      <c r="I3" s="37"/>
      <c r="J3" s="37"/>
      <c r="K3" s="37"/>
    </row>
    <row r="4" spans="1:32">
      <c r="A4" s="1" t="s">
        <v>2</v>
      </c>
      <c r="B4">
        <f>2*PI()/lamda</f>
        <v>4.1887902047863905E-2</v>
      </c>
    </row>
    <row r="5" spans="1:32">
      <c r="A5" s="1" t="s">
        <v>3</v>
      </c>
      <c r="B5">
        <v>15</v>
      </c>
    </row>
    <row r="6" spans="1:32">
      <c r="A6" s="1" t="s">
        <v>4</v>
      </c>
      <c r="B6">
        <v>-4</v>
      </c>
    </row>
    <row r="7" spans="1:32">
      <c r="A7" s="1" t="s">
        <v>6</v>
      </c>
      <c r="B7">
        <v>100</v>
      </c>
      <c r="C7" t="s">
        <v>179</v>
      </c>
    </row>
    <row r="8" spans="1:32">
      <c r="A8" s="1" t="s">
        <v>31</v>
      </c>
      <c r="B8">
        <v>0.1</v>
      </c>
    </row>
    <row r="12" spans="1:32">
      <c r="A12" t="s">
        <v>185</v>
      </c>
      <c r="B12">
        <f>v0*L2+0.5*accelaration*L2^2</f>
        <v>17.079999999999998</v>
      </c>
      <c r="C12" t="s">
        <v>125</v>
      </c>
      <c r="D12">
        <f>Maxy*kapa*COS(kapa*B13)</f>
        <v>4.0783292553149559</v>
      </c>
    </row>
    <row r="13" spans="1:32">
      <c r="A13" t="s">
        <v>186</v>
      </c>
      <c r="B13">
        <f>'Landen transform'!HI2</f>
        <v>5.4947191822063663</v>
      </c>
      <c r="C13" t="s">
        <v>126</v>
      </c>
      <c r="D13">
        <f>ATAN(D12)</f>
        <v>1.330341852810768</v>
      </c>
    </row>
    <row r="14" spans="1:32">
      <c r="A14" t="s">
        <v>187</v>
      </c>
      <c r="B14">
        <f>Maxy*SIN(kapa*B13)</f>
        <v>22.813550655680572</v>
      </c>
      <c r="C14" t="s">
        <v>125</v>
      </c>
      <c r="Q14" t="s">
        <v>33</v>
      </c>
    </row>
    <row r="15" spans="1:32">
      <c r="A15" t="s">
        <v>188</v>
      </c>
      <c r="B15">
        <f>v0+accelaration*L2</f>
        <v>-9.4000000000000021</v>
      </c>
      <c r="C15" t="s">
        <v>127</v>
      </c>
      <c r="D15">
        <f>-Maxy*kapa^2*SIN(kapa*B13)</f>
        <v>-4.0028572436583101E-2</v>
      </c>
      <c r="P15" t="s">
        <v>119</v>
      </c>
    </row>
    <row r="16" spans="1:32">
      <c r="A16" t="s">
        <v>121</v>
      </c>
      <c r="B16">
        <f>B15*COS(D13)</f>
        <v>-2.2385540672079181</v>
      </c>
      <c r="C16">
        <f>B15/SQRT(1+(Maxy*kapa*COS(kapa*B13))^2)</f>
        <v>-2.2385540672079167</v>
      </c>
      <c r="Q16" t="s">
        <v>120</v>
      </c>
    </row>
    <row r="17" spans="1:29">
      <c r="A17" t="s">
        <v>122</v>
      </c>
      <c r="B17">
        <f>B15*SIN(D13)</f>
        <v>-9.1295605418983303</v>
      </c>
    </row>
    <row r="18" spans="1:29">
      <c r="A18" t="s">
        <v>32</v>
      </c>
      <c r="C18" t="s">
        <v>128</v>
      </c>
      <c r="D18">
        <f>(1+D12^2)^(1.5)/D15</f>
        <v>-1849.7400257890242</v>
      </c>
      <c r="E18" t="s">
        <v>129</v>
      </c>
      <c r="F18">
        <f>B15^2/D18</f>
        <v>-4.77688749597713E-2</v>
      </c>
      <c r="G18" s="2" t="s">
        <v>131</v>
      </c>
      <c r="H18">
        <f>-1/D12</f>
        <v>-0.24519844705936408</v>
      </c>
    </row>
    <row r="19" spans="1:29" ht="15.75" thickBot="1">
      <c r="A19" t="s">
        <v>30</v>
      </c>
      <c r="F19" t="s">
        <v>130</v>
      </c>
      <c r="G19" t="s">
        <v>132</v>
      </c>
      <c r="H19">
        <f>ATAN(H18)</f>
        <v>-0.24045447398412853</v>
      </c>
      <c r="I19">
        <f>COS(H19)</f>
        <v>0.97122984488280084</v>
      </c>
      <c r="K19" t="s">
        <v>134</v>
      </c>
      <c r="N19">
        <f>1/SQRT(1+D12^2)</f>
        <v>0.23814404970296982</v>
      </c>
      <c r="Q19" s="1" t="s">
        <v>140</v>
      </c>
      <c r="R19" s="1">
        <f>Maxy*kapa/SQRT(1+(Maxy*kapa)^2)</f>
        <v>0.97266639233894803</v>
      </c>
    </row>
    <row r="20" spans="1:29" ht="15.75" thickTop="1">
      <c r="A20" s="1" t="s">
        <v>183</v>
      </c>
      <c r="B20" s="31" t="s">
        <v>180</v>
      </c>
      <c r="C20" s="32" t="s">
        <v>181</v>
      </c>
      <c r="G20">
        <f>-F18*N20</f>
        <v>4.6394557017404581E-2</v>
      </c>
      <c r="H20">
        <f>F18*N19</f>
        <v>-1.1375873332674726E-2</v>
      </c>
      <c r="I20">
        <f>SIN(H19)</f>
        <v>-0.23814404970296985</v>
      </c>
      <c r="K20" t="s">
        <v>135</v>
      </c>
      <c r="N20">
        <f>D12*N19</f>
        <v>0.97122984488280073</v>
      </c>
      <c r="Q20" s="1" t="s">
        <v>141</v>
      </c>
      <c r="R20" s="1">
        <f>SQRT(1+Maxy^2*kapa^2)</f>
        <v>4.3065024532344589</v>
      </c>
    </row>
    <row r="21" spans="1:29" ht="15.75" thickBot="1">
      <c r="A21">
        <f>(1+D12^2)^1.5/D15</f>
        <v>-1849.7400257890242</v>
      </c>
      <c r="B21" s="33">
        <f>xcurrent-A21*hmiton</f>
        <v>1802.0174375027882</v>
      </c>
      <c r="C21" s="34">
        <f>ycurrent+A21*synim</f>
        <v>-417.69102998339349</v>
      </c>
      <c r="D21" s="10">
        <f>B16</f>
        <v>-2.2385540672079181</v>
      </c>
      <c r="E21" s="10">
        <f>B17</f>
        <v>-9.1295605418983303</v>
      </c>
      <c r="G21">
        <f>G20</f>
        <v>4.6394557017404581E-2</v>
      </c>
      <c r="H21">
        <f>H20</f>
        <v>-1.1375873332674726E-2</v>
      </c>
      <c r="AB21" t="s">
        <v>182</v>
      </c>
    </row>
    <row r="22" spans="1:29" ht="16.5" thickTop="1" thickBot="1">
      <c r="B22" s="35">
        <f>xcurrent</f>
        <v>5.4947191822063663</v>
      </c>
      <c r="C22" s="36">
        <f>ycurrent</f>
        <v>22.813550655680572</v>
      </c>
      <c r="D22" s="11" t="s">
        <v>123</v>
      </c>
      <c r="E22" s="11" t="s">
        <v>124</v>
      </c>
      <c r="G22" t="s">
        <v>130</v>
      </c>
      <c r="H22" t="s">
        <v>133</v>
      </c>
      <c r="Q22" s="38" t="s">
        <v>189</v>
      </c>
      <c r="R22" s="39"/>
      <c r="AA22" t="s">
        <v>21</v>
      </c>
      <c r="AB22" t="s">
        <v>184</v>
      </c>
    </row>
    <row r="23" spans="1:29" ht="15.75" thickTop="1">
      <c r="B23">
        <f>1/SQRT(1+Maxy^2*kapa^2*(COS(kapa*B13))^2)*B15</f>
        <v>-2.2385540672079172</v>
      </c>
      <c r="D23" s="10">
        <f>B13</f>
        <v>5.4947191822063663</v>
      </c>
      <c r="E23" s="10">
        <f>B14</f>
        <v>22.813550655680572</v>
      </c>
      <c r="G23">
        <f>B13</f>
        <v>5.4947191822063663</v>
      </c>
      <c r="H23">
        <f>B14</f>
        <v>22.813550655680572</v>
      </c>
      <c r="Q23" s="40">
        <f>accelaration*synim</f>
        <v>-0.95257619881187927</v>
      </c>
      <c r="R23" s="41">
        <f>accelaration*hmiton</f>
        <v>-3.8849193795312029</v>
      </c>
      <c r="AA23">
        <v>0</v>
      </c>
      <c r="AB23">
        <f t="shared" ref="AB23:AB54" si="0">ABS(r_)*COS(AA24)+rx</f>
        <v>3637.1717106979004</v>
      </c>
      <c r="AC23">
        <f t="shared" ref="AC23:AC54" si="1">ABS(r_)*SIN(AA24)+ry</f>
        <v>-185.85713129793552</v>
      </c>
    </row>
    <row r="24" spans="1:29">
      <c r="D24" s="11">
        <f t="shared" ref="D24:E24" si="2">D23+D21</f>
        <v>3.2561651149984483</v>
      </c>
      <c r="E24" s="11">
        <f t="shared" si="2"/>
        <v>13.683990113782242</v>
      </c>
      <c r="G24" s="11">
        <f t="shared" ref="G24:H24" si="3">G23+G21</f>
        <v>5.5411137392237713</v>
      </c>
      <c r="H24" s="11">
        <f t="shared" si="3"/>
        <v>22.802174782347898</v>
      </c>
      <c r="K24" t="s">
        <v>46</v>
      </c>
      <c r="Q24" s="40">
        <f>G21</f>
        <v>4.6394557017404581E-2</v>
      </c>
      <c r="R24" s="41">
        <f>H21</f>
        <v>-1.1375873332674726E-2</v>
      </c>
      <c r="AA24">
        <f>AA23+2*PI()/50</f>
        <v>0.12566370614359174</v>
      </c>
      <c r="AB24">
        <f t="shared" si="0"/>
        <v>3593.6444789476768</v>
      </c>
      <c r="AC24">
        <f t="shared" si="1"/>
        <v>42.320608314394519</v>
      </c>
    </row>
    <row r="25" spans="1:29">
      <c r="D25" s="12">
        <f>-1/20*E21+18/20*D21+D23</f>
        <v>3.9364985488141562</v>
      </c>
      <c r="E25" s="12">
        <f>1/20*D21+18/20*E21+E23</f>
        <v>14.485018464611679</v>
      </c>
      <c r="G25" s="12">
        <f>-1/20*H21+18/20*G21+G23</f>
        <v>5.5370430771886641</v>
      </c>
      <c r="H25" s="12">
        <f>1/20*G21+18/20*H21+H23</f>
        <v>22.805632097532037</v>
      </c>
      <c r="K25" t="s">
        <v>136</v>
      </c>
      <c r="Q25" s="40">
        <f>SUM(Q23:Q24)</f>
        <v>-0.90618164179447469</v>
      </c>
      <c r="R25" s="41">
        <f>SUM(R23:R24)</f>
        <v>-3.8962952528638777</v>
      </c>
      <c r="AA25">
        <f t="shared" ref="AA25:AA73" si="4">AA24+2*PI()/50</f>
        <v>0.25132741228718347</v>
      </c>
      <c r="AB25">
        <f t="shared" si="0"/>
        <v>3521.8622184877504</v>
      </c>
      <c r="AC25">
        <f t="shared" si="1"/>
        <v>263.24368959313574</v>
      </c>
    </row>
    <row r="26" spans="1:29">
      <c r="D26" s="12">
        <f>1/20*E21+18/20*D21+D23</f>
        <v>3.0235424946243232</v>
      </c>
      <c r="E26" s="12">
        <f>-1/20*D21+18/20*E21+E23</f>
        <v>14.70887387133247</v>
      </c>
      <c r="G26" s="12">
        <f>1/20*H21+18/20*G21+G23</f>
        <v>5.5359054898553968</v>
      </c>
      <c r="H26" s="12">
        <f>-1/20*G21+18/20*H21+H23</f>
        <v>22.800992641830295</v>
      </c>
      <c r="K26" t="s">
        <v>42</v>
      </c>
      <c r="Q26" s="40" t="s">
        <v>190</v>
      </c>
      <c r="R26" s="41"/>
      <c r="AA26">
        <f t="shared" si="4"/>
        <v>0.37699111843077521</v>
      </c>
      <c r="AB26">
        <f t="shared" si="0"/>
        <v>3422.9569784462187</v>
      </c>
      <c r="AC26">
        <f t="shared" si="1"/>
        <v>473.42802357347057</v>
      </c>
    </row>
    <row r="27" spans="1:29">
      <c r="D27" s="11">
        <f t="shared" ref="D27:E27" si="5">D24</f>
        <v>3.2561651149984483</v>
      </c>
      <c r="E27" s="11">
        <f t="shared" si="5"/>
        <v>13.683990113782242</v>
      </c>
      <c r="G27" s="11">
        <f t="shared" ref="G27:H27" si="6">G24</f>
        <v>5.5411137392237713</v>
      </c>
      <c r="H27" s="11">
        <f t="shared" si="6"/>
        <v>22.802174782347898</v>
      </c>
      <c r="K27" t="s">
        <v>137</v>
      </c>
      <c r="Q27" s="40">
        <f>xcurrent</f>
        <v>5.4947191822063663</v>
      </c>
      <c r="R27" s="41">
        <f>ycurrent</f>
        <v>22.813550655680572</v>
      </c>
      <c r="AA27">
        <f t="shared" si="4"/>
        <v>0.50265482457436694</v>
      </c>
      <c r="AB27">
        <f t="shared" si="0"/>
        <v>3298.4885535416624</v>
      </c>
      <c r="AC27">
        <f t="shared" si="1"/>
        <v>669.55887775049382</v>
      </c>
    </row>
    <row r="28" spans="1:29">
      <c r="K28" t="s">
        <v>138</v>
      </c>
      <c r="Q28" s="42">
        <f t="shared" ref="Q28:R28" si="7">Q27+Q25</f>
        <v>4.5885375404118918</v>
      </c>
      <c r="R28" s="43">
        <f t="shared" si="7"/>
        <v>18.917255402816693</v>
      </c>
      <c r="AA28">
        <f t="shared" si="4"/>
        <v>0.62831853071795862</v>
      </c>
      <c r="AB28">
        <f t="shared" si="0"/>
        <v>3150.4198851886595</v>
      </c>
      <c r="AC28">
        <f t="shared" si="1"/>
        <v>848.54315139094092</v>
      </c>
    </row>
    <row r="29" spans="1:29">
      <c r="K29" t="s">
        <v>139</v>
      </c>
      <c r="Q29" s="44">
        <f>-1/20*R25+18/20*Q25+Q27</f>
        <v>4.8739704672345328</v>
      </c>
      <c r="R29" s="45">
        <f>1/20*Q25+18/20*R25+R27</f>
        <v>19.261575846013358</v>
      </c>
      <c r="AA29">
        <f t="shared" si="4"/>
        <v>0.7539822368615503</v>
      </c>
      <c r="AB29">
        <f t="shared" si="0"/>
        <v>2981.0861047390727</v>
      </c>
      <c r="AC29">
        <f t="shared" si="1"/>
        <v>1007.5581555794795</v>
      </c>
    </row>
    <row r="30" spans="1:29">
      <c r="Q30" s="44">
        <f>1/20*R25+18/20*Q25+Q27</f>
        <v>4.4843409419481457</v>
      </c>
      <c r="R30" s="45">
        <f>-1/20*Q25+18/20*R25+R27</f>
        <v>19.352194010192807</v>
      </c>
      <c r="AA30">
        <f t="shared" si="4"/>
        <v>0.87964594300514198</v>
      </c>
      <c r="AB30">
        <f t="shared" si="0"/>
        <v>2793.1577070656876</v>
      </c>
      <c r="AC30">
        <f t="shared" si="1"/>
        <v>1144.096128709097</v>
      </c>
    </row>
    <row r="31" spans="1:29" ht="15.75" thickBot="1">
      <c r="Q31" s="46">
        <f t="shared" ref="Q31:R31" si="8">Q28</f>
        <v>4.5885375404118918</v>
      </c>
      <c r="R31" s="47">
        <f t="shared" si="8"/>
        <v>18.917255402816693</v>
      </c>
      <c r="AA31">
        <f t="shared" si="4"/>
        <v>1.0053096491487337</v>
      </c>
      <c r="AB31">
        <f t="shared" si="0"/>
        <v>2589.5984352627984</v>
      </c>
      <c r="AC31">
        <f t="shared" si="1"/>
        <v>1256.0037853797082</v>
      </c>
    </row>
    <row r="32" spans="1:29" ht="15.75" thickTop="1">
      <c r="AA32">
        <f t="shared" si="4"/>
        <v>1.1309733552923253</v>
      </c>
      <c r="AB32">
        <f t="shared" si="0"/>
        <v>2373.6185406471504</v>
      </c>
      <c r="AC32">
        <f t="shared" si="1"/>
        <v>1341.5162749952233</v>
      </c>
    </row>
    <row r="33" spans="27:29">
      <c r="AA33">
        <f t="shared" si="4"/>
        <v>1.256637061435917</v>
      </c>
      <c r="AB33">
        <f t="shared" si="0"/>
        <v>2148.6241551769681</v>
      </c>
      <c r="AC33">
        <f t="shared" si="1"/>
        <v>1399.2850145117206</v>
      </c>
    </row>
    <row r="34" spans="27:29">
      <c r="AA34">
        <f t="shared" si="4"/>
        <v>1.3823007675795087</v>
      </c>
      <c r="AB34">
        <f t="shared" si="0"/>
        <v>1918.1635747162472</v>
      </c>
      <c r="AC34">
        <f t="shared" si="1"/>
        <v>1428.3989563976531</v>
      </c>
    </row>
    <row r="35" spans="27:29">
      <c r="AA35">
        <f t="shared" si="4"/>
        <v>1.5079644737231004</v>
      </c>
      <c r="AB35">
        <f t="shared" si="0"/>
        <v>1685.8713002893305</v>
      </c>
      <c r="AC35">
        <f t="shared" si="1"/>
        <v>1428.3989563976531</v>
      </c>
    </row>
    <row r="36" spans="27:29">
      <c r="AA36">
        <f t="shared" si="4"/>
        <v>1.6336281798666921</v>
      </c>
      <c r="AB36">
        <f t="shared" si="0"/>
        <v>1455.4107198286097</v>
      </c>
      <c r="AC36">
        <f t="shared" si="1"/>
        <v>1399.2850145117209</v>
      </c>
    </row>
    <row r="37" spans="27:29">
      <c r="AA37">
        <f t="shared" si="4"/>
        <v>1.7592918860102837</v>
      </c>
      <c r="AB37">
        <f t="shared" si="0"/>
        <v>1230.4163343584271</v>
      </c>
      <c r="AC37">
        <f t="shared" si="1"/>
        <v>1341.5162749952237</v>
      </c>
    </row>
    <row r="38" spans="27:29">
      <c r="AA38">
        <f t="shared" si="4"/>
        <v>1.8849555921538754</v>
      </c>
      <c r="AB38">
        <f t="shared" si="0"/>
        <v>1014.4364397427788</v>
      </c>
      <c r="AC38">
        <f t="shared" si="1"/>
        <v>1256.0037853797085</v>
      </c>
    </row>
    <row r="39" spans="27:29">
      <c r="AA39">
        <f t="shared" si="4"/>
        <v>2.0106192982974673</v>
      </c>
      <c r="AB39">
        <f t="shared" si="0"/>
        <v>810.87716793988909</v>
      </c>
      <c r="AC39">
        <f t="shared" si="1"/>
        <v>1144.0961287090975</v>
      </c>
    </row>
    <row r="40" spans="27:29">
      <c r="AA40">
        <f t="shared" si="4"/>
        <v>2.1362830044410592</v>
      </c>
      <c r="AB40">
        <f t="shared" si="0"/>
        <v>622.9487702665042</v>
      </c>
      <c r="AC40">
        <f t="shared" si="1"/>
        <v>1007.5581555794797</v>
      </c>
    </row>
    <row r="41" spans="27:29">
      <c r="AA41">
        <f t="shared" si="4"/>
        <v>2.2619467105846511</v>
      </c>
      <c r="AB41">
        <f t="shared" si="0"/>
        <v>453.6149898169167</v>
      </c>
      <c r="AC41">
        <f t="shared" si="1"/>
        <v>848.54315139094069</v>
      </c>
    </row>
    <row r="42" spans="27:29">
      <c r="AA42">
        <f t="shared" si="4"/>
        <v>2.387610416728243</v>
      </c>
      <c r="AB42">
        <f t="shared" si="0"/>
        <v>305.54632146391373</v>
      </c>
      <c r="AC42">
        <f t="shared" si="1"/>
        <v>669.55887775049337</v>
      </c>
    </row>
    <row r="43" spans="27:29">
      <c r="AA43">
        <f t="shared" si="4"/>
        <v>2.5132741228718349</v>
      </c>
      <c r="AB43">
        <f t="shared" si="0"/>
        <v>181.07789655935744</v>
      </c>
      <c r="AC43">
        <f t="shared" si="1"/>
        <v>473.42802357346966</v>
      </c>
    </row>
    <row r="44" spans="27:29">
      <c r="AA44">
        <f t="shared" si="4"/>
        <v>2.6389378290154268</v>
      </c>
      <c r="AB44">
        <f t="shared" si="0"/>
        <v>82.172656517825317</v>
      </c>
      <c r="AC44">
        <f t="shared" si="1"/>
        <v>263.24368959313449</v>
      </c>
    </row>
    <row r="45" spans="27:29">
      <c r="AA45">
        <f t="shared" si="4"/>
        <v>2.7646015351590187</v>
      </c>
      <c r="AB45">
        <f t="shared" si="0"/>
        <v>10.390396057899125</v>
      </c>
      <c r="AC45">
        <f t="shared" si="1"/>
        <v>42.320608314392985</v>
      </c>
    </row>
    <row r="46" spans="27:29">
      <c r="AA46">
        <f t="shared" si="4"/>
        <v>2.8902652413026106</v>
      </c>
      <c r="AB46">
        <f t="shared" si="0"/>
        <v>-33.136835692324439</v>
      </c>
      <c r="AC46">
        <f t="shared" si="1"/>
        <v>-185.85713129793749</v>
      </c>
    </row>
    <row r="47" spans="27:29">
      <c r="AA47">
        <f t="shared" si="4"/>
        <v>3.0159289474462025</v>
      </c>
      <c r="AB47">
        <f t="shared" si="0"/>
        <v>-47.722588286236032</v>
      </c>
      <c r="AC47">
        <f t="shared" si="1"/>
        <v>-417.69102998339571</v>
      </c>
    </row>
    <row r="48" spans="27:29">
      <c r="AA48">
        <f t="shared" si="4"/>
        <v>3.1415926535897944</v>
      </c>
      <c r="AB48">
        <f t="shared" si="0"/>
        <v>-33.136835692323757</v>
      </c>
      <c r="AC48">
        <f t="shared" si="1"/>
        <v>-649.52492866885393</v>
      </c>
    </row>
    <row r="49" spans="27:29">
      <c r="AA49">
        <f t="shared" si="4"/>
        <v>3.2672563597333864</v>
      </c>
      <c r="AB49">
        <f t="shared" si="0"/>
        <v>10.390396057900261</v>
      </c>
      <c r="AC49">
        <f t="shared" si="1"/>
        <v>-877.70266828118429</v>
      </c>
    </row>
    <row r="50" spans="27:29">
      <c r="AA50">
        <f t="shared" si="4"/>
        <v>3.3929200658769783</v>
      </c>
      <c r="AB50">
        <f t="shared" si="0"/>
        <v>82.172656517826908</v>
      </c>
      <c r="AC50">
        <f t="shared" si="1"/>
        <v>-1098.6257495599257</v>
      </c>
    </row>
    <row r="51" spans="27:29">
      <c r="AA51">
        <f t="shared" si="4"/>
        <v>3.5185837720205702</v>
      </c>
      <c r="AB51">
        <f t="shared" si="0"/>
        <v>181.07789655935949</v>
      </c>
      <c r="AC51">
        <f t="shared" si="1"/>
        <v>-1308.8100835402606</v>
      </c>
    </row>
    <row r="52" spans="27:29">
      <c r="AA52">
        <f t="shared" si="4"/>
        <v>3.6442474781641621</v>
      </c>
      <c r="AB52">
        <f t="shared" si="0"/>
        <v>305.54632146391623</v>
      </c>
      <c r="AC52">
        <f t="shared" si="1"/>
        <v>-1504.940937717284</v>
      </c>
    </row>
    <row r="53" spans="27:29">
      <c r="AA53">
        <f t="shared" si="4"/>
        <v>3.769911184307754</v>
      </c>
      <c r="AB53">
        <f t="shared" si="0"/>
        <v>453.61498981691966</v>
      </c>
      <c r="AC53">
        <f t="shared" si="1"/>
        <v>-1683.9252113577309</v>
      </c>
    </row>
    <row r="54" spans="27:29">
      <c r="AA54">
        <f t="shared" si="4"/>
        <v>3.8955748904513459</v>
      </c>
      <c r="AB54">
        <f t="shared" si="0"/>
        <v>622.94877026650693</v>
      </c>
      <c r="AC54">
        <f t="shared" si="1"/>
        <v>-1842.9402155462687</v>
      </c>
    </row>
    <row r="55" spans="27:29">
      <c r="AA55">
        <f t="shared" si="4"/>
        <v>4.0212385965949373</v>
      </c>
      <c r="AB55">
        <f t="shared" ref="AB55:AB73" si="9">ABS(r_)*COS(AA56)+rx</f>
        <v>810.87716793989216</v>
      </c>
      <c r="AC55">
        <f t="shared" ref="AC55:AC73" si="10">ABS(r_)*SIN(AA56)+ry</f>
        <v>-1979.4781886758863</v>
      </c>
    </row>
    <row r="56" spans="27:29">
      <c r="AA56">
        <f t="shared" si="4"/>
        <v>4.1469023027385292</v>
      </c>
      <c r="AB56">
        <f t="shared" si="9"/>
        <v>1014.4364397427821</v>
      </c>
      <c r="AC56">
        <f t="shared" si="10"/>
        <v>-2091.3858453464973</v>
      </c>
    </row>
    <row r="57" spans="27:29">
      <c r="AA57">
        <f t="shared" si="4"/>
        <v>4.2725660088821211</v>
      </c>
      <c r="AB57">
        <f t="shared" si="9"/>
        <v>1230.4163343584305</v>
      </c>
      <c r="AC57">
        <f t="shared" si="10"/>
        <v>-2176.8983349620121</v>
      </c>
    </row>
    <row r="58" spans="27:29">
      <c r="AA58">
        <f t="shared" si="4"/>
        <v>4.398229715025713</v>
      </c>
      <c r="AB58">
        <f t="shared" si="9"/>
        <v>1455.4107198286135</v>
      </c>
      <c r="AC58">
        <f t="shared" si="10"/>
        <v>-2234.6670744785088</v>
      </c>
    </row>
    <row r="59" spans="27:29">
      <c r="AA59">
        <f t="shared" si="4"/>
        <v>4.5238934211693049</v>
      </c>
      <c r="AB59">
        <f t="shared" si="9"/>
        <v>1685.8713002893351</v>
      </c>
      <c r="AC59">
        <f t="shared" si="10"/>
        <v>-2263.7810163644403</v>
      </c>
    </row>
    <row r="60" spans="27:29">
      <c r="AA60">
        <f t="shared" si="4"/>
        <v>4.6495571273128968</v>
      </c>
      <c r="AB60">
        <f t="shared" si="9"/>
        <v>1918.163574716252</v>
      </c>
      <c r="AC60">
        <f t="shared" si="10"/>
        <v>-2263.7810163644399</v>
      </c>
    </row>
    <row r="61" spans="27:29">
      <c r="AA61">
        <f t="shared" si="4"/>
        <v>4.7752208334564887</v>
      </c>
      <c r="AB61">
        <f t="shared" si="9"/>
        <v>2148.6241551769735</v>
      </c>
      <c r="AC61">
        <f t="shared" si="10"/>
        <v>-2234.6670744785069</v>
      </c>
    </row>
    <row r="62" spans="27:29">
      <c r="AA62">
        <f t="shared" si="4"/>
        <v>4.9008845396000806</v>
      </c>
      <c r="AB62">
        <f t="shared" si="9"/>
        <v>2373.6185406471559</v>
      </c>
      <c r="AC62">
        <f t="shared" si="10"/>
        <v>-2176.8983349620084</v>
      </c>
    </row>
    <row r="63" spans="27:29">
      <c r="AA63">
        <f t="shared" si="4"/>
        <v>5.0265482457436725</v>
      </c>
      <c r="AB63">
        <f t="shared" si="9"/>
        <v>2589.5984352628038</v>
      </c>
      <c r="AC63">
        <f t="shared" si="10"/>
        <v>-2091.3858453464927</v>
      </c>
    </row>
    <row r="64" spans="27:29">
      <c r="AA64">
        <f t="shared" si="4"/>
        <v>5.1522119518872644</v>
      </c>
      <c r="AB64">
        <f t="shared" si="9"/>
        <v>2793.1577070656936</v>
      </c>
      <c r="AC64">
        <f t="shared" si="10"/>
        <v>-1979.4781886758806</v>
      </c>
    </row>
    <row r="65" spans="27:29">
      <c r="AA65">
        <f t="shared" si="4"/>
        <v>5.2778756580308563</v>
      </c>
      <c r="AB65">
        <f t="shared" si="9"/>
        <v>2981.0861047390781</v>
      </c>
      <c r="AC65">
        <f t="shared" si="10"/>
        <v>-1842.9402155462622</v>
      </c>
    </row>
    <row r="66" spans="27:29">
      <c r="AA66">
        <f t="shared" si="4"/>
        <v>5.4035393641744482</v>
      </c>
      <c r="AB66">
        <f t="shared" si="9"/>
        <v>3150.4198851886649</v>
      </c>
      <c r="AC66">
        <f t="shared" si="10"/>
        <v>-1683.9252113577224</v>
      </c>
    </row>
    <row r="67" spans="27:29">
      <c r="AA67">
        <f t="shared" si="4"/>
        <v>5.5292030703180401</v>
      </c>
      <c r="AB67">
        <f t="shared" si="9"/>
        <v>3298.488553541667</v>
      </c>
      <c r="AC67">
        <f t="shared" si="10"/>
        <v>-1504.9409377172744</v>
      </c>
    </row>
    <row r="68" spans="27:29">
      <c r="AA68">
        <f t="shared" si="4"/>
        <v>5.654866776461632</v>
      </c>
      <c r="AB68">
        <f t="shared" si="9"/>
        <v>3422.9569784462228</v>
      </c>
      <c r="AC68">
        <f t="shared" si="10"/>
        <v>-1308.8100835402504</v>
      </c>
    </row>
    <row r="69" spans="27:29">
      <c r="AA69">
        <f t="shared" si="4"/>
        <v>5.780530482605224</v>
      </c>
      <c r="AB69">
        <f t="shared" si="9"/>
        <v>3521.862218487754</v>
      </c>
      <c r="AC69">
        <f t="shared" si="10"/>
        <v>-1098.6257495599148</v>
      </c>
    </row>
    <row r="70" spans="27:29">
      <c r="AA70">
        <f t="shared" si="4"/>
        <v>5.9061941887488159</v>
      </c>
      <c r="AB70">
        <f t="shared" si="9"/>
        <v>3593.6444789476791</v>
      </c>
      <c r="AC70">
        <f t="shared" si="10"/>
        <v>-877.70266828117292</v>
      </c>
    </row>
    <row r="71" spans="27:29">
      <c r="AA71">
        <f t="shared" si="4"/>
        <v>6.0318578948924078</v>
      </c>
      <c r="AB71">
        <f t="shared" si="9"/>
        <v>3637.1717106979013</v>
      </c>
      <c r="AC71">
        <f t="shared" si="10"/>
        <v>-649.52492866884245</v>
      </c>
    </row>
    <row r="72" spans="27:29">
      <c r="AA72">
        <f t="shared" si="4"/>
        <v>6.1575216010359997</v>
      </c>
      <c r="AB72">
        <f t="shared" si="9"/>
        <v>3651.7574632918122</v>
      </c>
      <c r="AC72">
        <f t="shared" si="10"/>
        <v>-417.69102998338411</v>
      </c>
    </row>
    <row r="73" spans="27:29">
      <c r="AA73">
        <f t="shared" si="4"/>
        <v>6.2831853071795916</v>
      </c>
      <c r="AB73">
        <f t="shared" si="9"/>
        <v>3651.7574632918122</v>
      </c>
      <c r="AC73">
        <f t="shared" si="10"/>
        <v>-417.69102998339349</v>
      </c>
    </row>
    <row r="83" spans="1:2">
      <c r="A83" t="s">
        <v>5</v>
      </c>
      <c r="B83" t="s">
        <v>7</v>
      </c>
    </row>
    <row r="84" spans="1:2">
      <c r="A84">
        <v>0</v>
      </c>
      <c r="B84">
        <f t="shared" ref="B84:B147" si="11">Maxy*SIN(kapa*A84)</f>
        <v>0</v>
      </c>
    </row>
    <row r="85" spans="1:2">
      <c r="A85">
        <f>A84+0.5</f>
        <v>0.5</v>
      </c>
      <c r="B85">
        <f t="shared" si="11"/>
        <v>2.0942419883356957</v>
      </c>
    </row>
    <row r="86" spans="1:2">
      <c r="A86">
        <f t="shared" ref="A86:A149" si="12">A85+0.5</f>
        <v>1</v>
      </c>
      <c r="B86">
        <f t="shared" si="11"/>
        <v>4.1875653729199627</v>
      </c>
    </row>
    <row r="87" spans="1:2">
      <c r="A87">
        <f t="shared" si="12"/>
        <v>1.5</v>
      </c>
      <c r="B87">
        <f t="shared" si="11"/>
        <v>6.2790519529313364</v>
      </c>
    </row>
    <row r="88" spans="1:2">
      <c r="A88">
        <f t="shared" si="12"/>
        <v>2</v>
      </c>
      <c r="B88">
        <f t="shared" si="11"/>
        <v>8.3677843332315476</v>
      </c>
    </row>
    <row r="89" spans="1:2">
      <c r="A89">
        <f t="shared" si="12"/>
        <v>2.5</v>
      </c>
      <c r="B89">
        <f t="shared" si="11"/>
        <v>10.452846326765346</v>
      </c>
    </row>
    <row r="90" spans="1:2">
      <c r="A90">
        <f t="shared" si="12"/>
        <v>3</v>
      </c>
      <c r="B90">
        <f t="shared" si="11"/>
        <v>12.533323356430422</v>
      </c>
    </row>
    <row r="91" spans="1:2">
      <c r="A91">
        <f t="shared" si="12"/>
        <v>3.5</v>
      </c>
      <c r="B91">
        <f t="shared" si="11"/>
        <v>14.60830285624116</v>
      </c>
    </row>
    <row r="92" spans="1:2">
      <c r="A92">
        <f t="shared" si="12"/>
        <v>4</v>
      </c>
      <c r="B92">
        <f t="shared" si="11"/>
        <v>16.676874671610225</v>
      </c>
    </row>
    <row r="93" spans="1:2">
      <c r="A93">
        <f t="shared" si="12"/>
        <v>4.5</v>
      </c>
      <c r="B93">
        <f t="shared" si="11"/>
        <v>18.738131458572461</v>
      </c>
    </row>
    <row r="94" spans="1:2">
      <c r="A94">
        <f t="shared" si="12"/>
        <v>5</v>
      </c>
      <c r="B94">
        <f t="shared" si="11"/>
        <v>20.79116908177593</v>
      </c>
    </row>
    <row r="95" spans="1:2">
      <c r="A95">
        <f t="shared" si="12"/>
        <v>5.5</v>
      </c>
      <c r="B95">
        <f t="shared" si="11"/>
        <v>22.835087011065571</v>
      </c>
    </row>
    <row r="96" spans="1:2">
      <c r="A96">
        <f t="shared" si="12"/>
        <v>6</v>
      </c>
      <c r="B96">
        <f t="shared" si="11"/>
        <v>24.868988716485475</v>
      </c>
    </row>
    <row r="97" spans="1:2">
      <c r="A97">
        <f t="shared" si="12"/>
        <v>6.5</v>
      </c>
      <c r="B97">
        <f t="shared" si="11"/>
        <v>26.891982061526569</v>
      </c>
    </row>
    <row r="98" spans="1:2">
      <c r="A98">
        <f t="shared" si="12"/>
        <v>7</v>
      </c>
      <c r="B98">
        <f t="shared" si="11"/>
        <v>28.903179694447157</v>
      </c>
    </row>
    <row r="99" spans="1:2">
      <c r="A99">
        <f t="shared" si="12"/>
        <v>7.5</v>
      </c>
      <c r="B99">
        <f t="shared" si="11"/>
        <v>30.901699437494738</v>
      </c>
    </row>
    <row r="100" spans="1:2">
      <c r="A100">
        <f t="shared" si="12"/>
        <v>8</v>
      </c>
      <c r="B100">
        <f t="shared" si="11"/>
        <v>32.88666467385832</v>
      </c>
    </row>
    <row r="101" spans="1:2">
      <c r="A101">
        <f t="shared" si="12"/>
        <v>8.5</v>
      </c>
      <c r="B101">
        <f t="shared" si="11"/>
        <v>34.857204732181515</v>
      </c>
    </row>
    <row r="102" spans="1:2">
      <c r="A102">
        <f t="shared" si="12"/>
        <v>9</v>
      </c>
      <c r="B102">
        <f t="shared" si="11"/>
        <v>36.812455268467794</v>
      </c>
    </row>
    <row r="103" spans="1:2">
      <c r="A103">
        <f t="shared" si="12"/>
        <v>9.5</v>
      </c>
      <c r="B103">
        <f t="shared" si="11"/>
        <v>38.751558645210295</v>
      </c>
    </row>
    <row r="104" spans="1:2">
      <c r="A104">
        <f t="shared" si="12"/>
        <v>10</v>
      </c>
      <c r="B104">
        <f t="shared" si="11"/>
        <v>40.673664307580012</v>
      </c>
    </row>
    <row r="105" spans="1:2">
      <c r="A105">
        <f t="shared" si="12"/>
        <v>10.5</v>
      </c>
      <c r="B105">
        <f t="shared" si="11"/>
        <v>42.57792915650726</v>
      </c>
    </row>
    <row r="106" spans="1:2">
      <c r="A106">
        <f t="shared" si="12"/>
        <v>11</v>
      </c>
      <c r="B106">
        <f t="shared" si="11"/>
        <v>44.463517918492748</v>
      </c>
    </row>
    <row r="107" spans="1:2">
      <c r="A107">
        <f t="shared" si="12"/>
        <v>11.5</v>
      </c>
      <c r="B107">
        <f t="shared" si="11"/>
        <v>46.329603511986164</v>
      </c>
    </row>
    <row r="108" spans="1:2">
      <c r="A108">
        <f t="shared" si="12"/>
        <v>12</v>
      </c>
      <c r="B108">
        <f t="shared" si="11"/>
        <v>48.175367410171518</v>
      </c>
    </row>
    <row r="109" spans="1:2">
      <c r="A109">
        <f t="shared" si="12"/>
        <v>12.5</v>
      </c>
      <c r="B109">
        <f t="shared" si="11"/>
        <v>49.999999999999993</v>
      </c>
    </row>
    <row r="110" spans="1:2">
      <c r="A110">
        <f t="shared" si="12"/>
        <v>13</v>
      </c>
      <c r="B110">
        <f t="shared" si="11"/>
        <v>51.80270093731302</v>
      </c>
    </row>
    <row r="111" spans="1:2">
      <c r="A111">
        <f t="shared" si="12"/>
        <v>13.5</v>
      </c>
      <c r="B111">
        <f t="shared" si="11"/>
        <v>53.582679497899655</v>
      </c>
    </row>
    <row r="112" spans="1:2">
      <c r="A112">
        <f t="shared" si="12"/>
        <v>14</v>
      </c>
      <c r="B112">
        <f t="shared" si="11"/>
        <v>55.339154924334402</v>
      </c>
    </row>
    <row r="113" spans="1:2">
      <c r="A113">
        <f t="shared" si="12"/>
        <v>14.5</v>
      </c>
      <c r="B113">
        <f t="shared" si="11"/>
        <v>57.07135676844316</v>
      </c>
    </row>
    <row r="114" spans="1:2">
      <c r="A114">
        <f t="shared" si="12"/>
        <v>15</v>
      </c>
      <c r="B114">
        <f t="shared" si="11"/>
        <v>58.778525229247315</v>
      </c>
    </row>
    <row r="115" spans="1:2">
      <c r="A115">
        <f t="shared" si="12"/>
        <v>15.5</v>
      </c>
      <c r="B115">
        <f t="shared" si="11"/>
        <v>60.459911486237473</v>
      </c>
    </row>
    <row r="116" spans="1:2">
      <c r="A116">
        <f t="shared" si="12"/>
        <v>16</v>
      </c>
      <c r="B116">
        <f t="shared" si="11"/>
        <v>62.114778027831029</v>
      </c>
    </row>
    <row r="117" spans="1:2">
      <c r="A117">
        <f t="shared" si="12"/>
        <v>16.5</v>
      </c>
      <c r="B117">
        <f t="shared" si="11"/>
        <v>63.742398974868962</v>
      </c>
    </row>
    <row r="118" spans="1:2">
      <c r="A118">
        <f t="shared" si="12"/>
        <v>17</v>
      </c>
      <c r="B118">
        <f t="shared" si="11"/>
        <v>65.342060399010535</v>
      </c>
    </row>
    <row r="119" spans="1:2">
      <c r="A119">
        <f t="shared" si="12"/>
        <v>17.5</v>
      </c>
      <c r="B119">
        <f t="shared" si="11"/>
        <v>66.913060635885813</v>
      </c>
    </row>
    <row r="120" spans="1:2">
      <c r="A120">
        <f t="shared" si="12"/>
        <v>18</v>
      </c>
      <c r="B120">
        <f t="shared" si="11"/>
        <v>68.454710592868864</v>
      </c>
    </row>
    <row r="121" spans="1:2">
      <c r="A121">
        <f t="shared" si="12"/>
        <v>18.5</v>
      </c>
      <c r="B121">
        <f t="shared" si="11"/>
        <v>69.966334051336545</v>
      </c>
    </row>
    <row r="122" spans="1:2">
      <c r="A122">
        <f t="shared" si="12"/>
        <v>19</v>
      </c>
      <c r="B122">
        <f t="shared" si="11"/>
        <v>71.447267963280325</v>
      </c>
    </row>
    <row r="123" spans="1:2">
      <c r="A123">
        <f t="shared" si="12"/>
        <v>19.5</v>
      </c>
      <c r="B123">
        <f t="shared" si="11"/>
        <v>72.896862742141138</v>
      </c>
    </row>
    <row r="124" spans="1:2">
      <c r="A124">
        <f t="shared" si="12"/>
        <v>20</v>
      </c>
      <c r="B124">
        <f t="shared" si="11"/>
        <v>74.314482547739416</v>
      </c>
    </row>
    <row r="125" spans="1:2">
      <c r="A125">
        <f t="shared" si="12"/>
        <v>20.5</v>
      </c>
      <c r="B125">
        <f t="shared" si="11"/>
        <v>75.699505565175627</v>
      </c>
    </row>
    <row r="126" spans="1:2">
      <c r="A126">
        <f t="shared" si="12"/>
        <v>21</v>
      </c>
      <c r="B126">
        <f t="shared" si="11"/>
        <v>77.051324277578914</v>
      </c>
    </row>
    <row r="127" spans="1:2">
      <c r="A127">
        <f t="shared" si="12"/>
        <v>21.5</v>
      </c>
      <c r="B127">
        <f t="shared" si="11"/>
        <v>78.369345732583966</v>
      </c>
    </row>
    <row r="128" spans="1:2">
      <c r="A128">
        <f t="shared" si="12"/>
        <v>22</v>
      </c>
      <c r="B128">
        <f t="shared" si="11"/>
        <v>79.652991802419621</v>
      </c>
    </row>
    <row r="129" spans="1:2">
      <c r="A129">
        <f t="shared" si="12"/>
        <v>22.5</v>
      </c>
      <c r="B129">
        <f t="shared" si="11"/>
        <v>80.901699437494727</v>
      </c>
    </row>
    <row r="130" spans="1:2">
      <c r="A130">
        <f t="shared" si="12"/>
        <v>23</v>
      </c>
      <c r="B130">
        <f t="shared" si="11"/>
        <v>82.114920913370398</v>
      </c>
    </row>
    <row r="131" spans="1:2">
      <c r="A131">
        <f t="shared" si="12"/>
        <v>23.5</v>
      </c>
      <c r="B131">
        <f t="shared" si="11"/>
        <v>83.292124071009937</v>
      </c>
    </row>
    <row r="132" spans="1:2">
      <c r="A132">
        <f t="shared" si="12"/>
        <v>24</v>
      </c>
      <c r="B132">
        <f t="shared" si="11"/>
        <v>84.432792550201498</v>
      </c>
    </row>
    <row r="133" spans="1:2">
      <c r="A133">
        <f t="shared" si="12"/>
        <v>24.5</v>
      </c>
      <c r="B133">
        <f t="shared" si="11"/>
        <v>85.536426016050655</v>
      </c>
    </row>
    <row r="134" spans="1:2">
      <c r="A134">
        <f t="shared" si="12"/>
        <v>25</v>
      </c>
      <c r="B134">
        <f t="shared" si="11"/>
        <v>86.602540378443862</v>
      </c>
    </row>
    <row r="135" spans="1:2">
      <c r="A135">
        <f t="shared" si="12"/>
        <v>25.5</v>
      </c>
      <c r="B135">
        <f t="shared" si="11"/>
        <v>87.630668004386365</v>
      </c>
    </row>
    <row r="136" spans="1:2">
      <c r="A136">
        <f t="shared" si="12"/>
        <v>26</v>
      </c>
      <c r="B136">
        <f t="shared" si="11"/>
        <v>88.620357923121475</v>
      </c>
    </row>
    <row r="137" spans="1:2">
      <c r="A137">
        <f t="shared" si="12"/>
        <v>26.5</v>
      </c>
      <c r="B137">
        <f t="shared" si="11"/>
        <v>89.571176023941291</v>
      </c>
    </row>
    <row r="138" spans="1:2">
      <c r="A138">
        <f t="shared" si="12"/>
        <v>27</v>
      </c>
      <c r="B138">
        <f t="shared" si="11"/>
        <v>90.482705246601952</v>
      </c>
    </row>
    <row r="139" spans="1:2">
      <c r="A139">
        <f t="shared" si="12"/>
        <v>27.5</v>
      </c>
      <c r="B139">
        <f t="shared" si="11"/>
        <v>91.354545764260081</v>
      </c>
    </row>
    <row r="140" spans="1:2">
      <c r="A140">
        <f t="shared" si="12"/>
        <v>28</v>
      </c>
      <c r="B140">
        <f t="shared" si="11"/>
        <v>92.18631515885005</v>
      </c>
    </row>
    <row r="141" spans="1:2">
      <c r="A141">
        <f t="shared" si="12"/>
        <v>28.5</v>
      </c>
      <c r="B141">
        <f t="shared" si="11"/>
        <v>92.977648588825133</v>
      </c>
    </row>
    <row r="142" spans="1:2">
      <c r="A142">
        <f t="shared" si="12"/>
        <v>29</v>
      </c>
      <c r="B142">
        <f t="shared" si="11"/>
        <v>93.728198949189149</v>
      </c>
    </row>
    <row r="143" spans="1:2">
      <c r="A143">
        <f t="shared" si="12"/>
        <v>29.5</v>
      </c>
      <c r="B143">
        <f t="shared" si="11"/>
        <v>94.437637023748096</v>
      </c>
    </row>
    <row r="144" spans="1:2">
      <c r="A144">
        <f t="shared" si="12"/>
        <v>30</v>
      </c>
      <c r="B144">
        <f t="shared" si="11"/>
        <v>95.10565162951535</v>
      </c>
    </row>
    <row r="145" spans="1:2">
      <c r="A145">
        <f t="shared" si="12"/>
        <v>30.5</v>
      </c>
      <c r="B145">
        <f t="shared" si="11"/>
        <v>95.73194975320672</v>
      </c>
    </row>
    <row r="146" spans="1:2">
      <c r="A146">
        <f t="shared" si="12"/>
        <v>31</v>
      </c>
      <c r="B146">
        <f t="shared" si="11"/>
        <v>96.316256679765814</v>
      </c>
    </row>
    <row r="147" spans="1:2">
      <c r="A147">
        <f t="shared" si="12"/>
        <v>31.5</v>
      </c>
      <c r="B147">
        <f t="shared" si="11"/>
        <v>96.858316112863108</v>
      </c>
    </row>
    <row r="148" spans="1:2">
      <c r="A148">
        <f t="shared" si="12"/>
        <v>32</v>
      </c>
      <c r="B148">
        <f t="shared" ref="B148:B211" si="13">Maxy*SIN(kapa*A148)</f>
        <v>97.357890287316025</v>
      </c>
    </row>
    <row r="149" spans="1:2">
      <c r="A149">
        <f t="shared" si="12"/>
        <v>32.5</v>
      </c>
      <c r="B149">
        <f t="shared" si="13"/>
        <v>97.814760073380555</v>
      </c>
    </row>
    <row r="150" spans="1:2">
      <c r="A150">
        <f t="shared" ref="A150:A161" si="14">A149+0.5</f>
        <v>33</v>
      </c>
      <c r="B150">
        <f t="shared" si="13"/>
        <v>98.228725072868855</v>
      </c>
    </row>
    <row r="151" spans="1:2">
      <c r="A151">
        <f t="shared" si="14"/>
        <v>33.5</v>
      </c>
      <c r="B151">
        <f t="shared" si="13"/>
        <v>98.599603707050491</v>
      </c>
    </row>
    <row r="152" spans="1:2">
      <c r="A152">
        <f t="shared" si="14"/>
        <v>34</v>
      </c>
      <c r="B152">
        <f t="shared" si="13"/>
        <v>98.927233296298837</v>
      </c>
    </row>
    <row r="153" spans="1:2">
      <c r="A153">
        <f t="shared" si="14"/>
        <v>34.5</v>
      </c>
      <c r="B153">
        <f t="shared" si="13"/>
        <v>99.211470131447783</v>
      </c>
    </row>
    <row r="154" spans="1:2">
      <c r="A154">
        <f t="shared" si="14"/>
        <v>35</v>
      </c>
      <c r="B154">
        <f t="shared" si="13"/>
        <v>99.452189536827333</v>
      </c>
    </row>
    <row r="155" spans="1:2">
      <c r="A155">
        <f t="shared" si="14"/>
        <v>35.5</v>
      </c>
      <c r="B155">
        <f t="shared" si="13"/>
        <v>99.649285924950433</v>
      </c>
    </row>
    <row r="156" spans="1:2">
      <c r="A156">
        <f t="shared" si="14"/>
        <v>36</v>
      </c>
      <c r="B156">
        <f t="shared" si="13"/>
        <v>99.80267284282715</v>
      </c>
    </row>
    <row r="157" spans="1:2">
      <c r="A157">
        <f t="shared" si="14"/>
        <v>36.5</v>
      </c>
      <c r="B157">
        <f t="shared" si="13"/>
        <v>99.91228300988584</v>
      </c>
    </row>
    <row r="158" spans="1:2">
      <c r="A158">
        <f t="shared" si="14"/>
        <v>37</v>
      </c>
      <c r="B158">
        <f t="shared" si="13"/>
        <v>99.978068347484552</v>
      </c>
    </row>
    <row r="159" spans="1:2">
      <c r="A159">
        <f t="shared" si="14"/>
        <v>37.5</v>
      </c>
      <c r="B159">
        <f t="shared" si="13"/>
        <v>100</v>
      </c>
    </row>
    <row r="160" spans="1:2">
      <c r="A160">
        <f t="shared" si="14"/>
        <v>38</v>
      </c>
      <c r="B160">
        <f t="shared" si="13"/>
        <v>99.978068347484552</v>
      </c>
    </row>
    <row r="161" spans="1:2">
      <c r="A161">
        <f t="shared" si="14"/>
        <v>38.5</v>
      </c>
      <c r="B161">
        <f t="shared" si="13"/>
        <v>99.91228300988584</v>
      </c>
    </row>
    <row r="162" spans="1:2">
      <c r="A162">
        <f t="shared" ref="A162:A225" si="15">A161+0.5</f>
        <v>39</v>
      </c>
      <c r="B162">
        <f t="shared" si="13"/>
        <v>99.80267284282715</v>
      </c>
    </row>
    <row r="163" spans="1:2">
      <c r="A163">
        <f t="shared" si="15"/>
        <v>39.5</v>
      </c>
      <c r="B163">
        <f t="shared" si="13"/>
        <v>99.649285924950433</v>
      </c>
    </row>
    <row r="164" spans="1:2">
      <c r="A164">
        <f t="shared" si="15"/>
        <v>40</v>
      </c>
      <c r="B164">
        <f t="shared" si="13"/>
        <v>99.452189536827333</v>
      </c>
    </row>
    <row r="165" spans="1:2">
      <c r="A165">
        <f t="shared" si="15"/>
        <v>40.5</v>
      </c>
      <c r="B165">
        <f t="shared" si="13"/>
        <v>99.211470131447783</v>
      </c>
    </row>
    <row r="166" spans="1:2">
      <c r="A166">
        <f t="shared" si="15"/>
        <v>41</v>
      </c>
      <c r="B166">
        <f t="shared" si="13"/>
        <v>98.927233296298837</v>
      </c>
    </row>
    <row r="167" spans="1:2">
      <c r="A167">
        <f t="shared" si="15"/>
        <v>41.5</v>
      </c>
      <c r="B167">
        <f t="shared" si="13"/>
        <v>98.599603707050505</v>
      </c>
    </row>
    <row r="168" spans="1:2">
      <c r="A168">
        <f t="shared" si="15"/>
        <v>42</v>
      </c>
      <c r="B168">
        <f t="shared" si="13"/>
        <v>98.228725072868869</v>
      </c>
    </row>
    <row r="169" spans="1:2">
      <c r="A169">
        <f t="shared" si="15"/>
        <v>42.5</v>
      </c>
      <c r="B169">
        <f t="shared" si="13"/>
        <v>97.814760073380569</v>
      </c>
    </row>
    <row r="170" spans="1:2">
      <c r="A170">
        <f t="shared" si="15"/>
        <v>43</v>
      </c>
      <c r="B170">
        <f t="shared" si="13"/>
        <v>97.357890287316025</v>
      </c>
    </row>
    <row r="171" spans="1:2">
      <c r="A171">
        <f t="shared" si="15"/>
        <v>43.5</v>
      </c>
      <c r="B171">
        <f t="shared" si="13"/>
        <v>96.858316112863122</v>
      </c>
    </row>
    <row r="172" spans="1:2">
      <c r="A172">
        <f t="shared" si="15"/>
        <v>44</v>
      </c>
      <c r="B172">
        <f t="shared" si="13"/>
        <v>96.316256679765814</v>
      </c>
    </row>
    <row r="173" spans="1:2">
      <c r="A173">
        <f t="shared" si="15"/>
        <v>44.5</v>
      </c>
      <c r="B173">
        <f t="shared" si="13"/>
        <v>95.731949753206734</v>
      </c>
    </row>
    <row r="174" spans="1:2">
      <c r="A174">
        <f t="shared" si="15"/>
        <v>45</v>
      </c>
      <c r="B174">
        <f t="shared" si="13"/>
        <v>95.105651629515364</v>
      </c>
    </row>
    <row r="175" spans="1:2">
      <c r="A175">
        <f t="shared" si="15"/>
        <v>45.5</v>
      </c>
      <c r="B175">
        <f t="shared" si="13"/>
        <v>94.43763702374811</v>
      </c>
    </row>
    <row r="176" spans="1:2">
      <c r="A176">
        <f t="shared" si="15"/>
        <v>46</v>
      </c>
      <c r="B176">
        <f t="shared" si="13"/>
        <v>93.728198949189164</v>
      </c>
    </row>
    <row r="177" spans="1:2">
      <c r="A177">
        <f t="shared" si="15"/>
        <v>46.5</v>
      </c>
      <c r="B177">
        <f t="shared" si="13"/>
        <v>92.977648588825147</v>
      </c>
    </row>
    <row r="178" spans="1:2">
      <c r="A178">
        <f t="shared" si="15"/>
        <v>47</v>
      </c>
      <c r="B178">
        <f t="shared" si="13"/>
        <v>92.186315158850064</v>
      </c>
    </row>
    <row r="179" spans="1:2">
      <c r="A179">
        <f t="shared" si="15"/>
        <v>47.5</v>
      </c>
      <c r="B179">
        <f t="shared" si="13"/>
        <v>91.354545764260095</v>
      </c>
    </row>
    <row r="180" spans="1:2">
      <c r="A180">
        <f t="shared" si="15"/>
        <v>48</v>
      </c>
      <c r="B180">
        <f t="shared" si="13"/>
        <v>90.482705246601967</v>
      </c>
    </row>
    <row r="181" spans="1:2">
      <c r="A181">
        <f t="shared" si="15"/>
        <v>48.5</v>
      </c>
      <c r="B181">
        <f t="shared" si="13"/>
        <v>89.571176023941305</v>
      </c>
    </row>
    <row r="182" spans="1:2">
      <c r="A182">
        <f t="shared" si="15"/>
        <v>49</v>
      </c>
      <c r="B182">
        <f t="shared" si="13"/>
        <v>88.620357923121489</v>
      </c>
    </row>
    <row r="183" spans="1:2">
      <c r="A183">
        <f t="shared" si="15"/>
        <v>49.5</v>
      </c>
      <c r="B183">
        <f t="shared" si="13"/>
        <v>87.630668004386365</v>
      </c>
    </row>
    <row r="184" spans="1:2">
      <c r="A184">
        <f t="shared" si="15"/>
        <v>50</v>
      </c>
      <c r="B184">
        <f t="shared" si="13"/>
        <v>86.602540378443877</v>
      </c>
    </row>
    <row r="185" spans="1:2">
      <c r="A185">
        <f t="shared" si="15"/>
        <v>50.5</v>
      </c>
      <c r="B185">
        <f t="shared" si="13"/>
        <v>85.536426016050669</v>
      </c>
    </row>
    <row r="186" spans="1:2">
      <c r="A186">
        <f t="shared" si="15"/>
        <v>51</v>
      </c>
      <c r="B186">
        <f t="shared" si="13"/>
        <v>84.432792550201512</v>
      </c>
    </row>
    <row r="187" spans="1:2">
      <c r="A187">
        <f t="shared" si="15"/>
        <v>51.5</v>
      </c>
      <c r="B187">
        <f t="shared" si="13"/>
        <v>83.292124071009951</v>
      </c>
    </row>
    <row r="188" spans="1:2">
      <c r="A188">
        <f t="shared" si="15"/>
        <v>52</v>
      </c>
      <c r="B188">
        <f t="shared" si="13"/>
        <v>82.114920913370412</v>
      </c>
    </row>
    <row r="189" spans="1:2">
      <c r="A189">
        <f t="shared" si="15"/>
        <v>52.5</v>
      </c>
      <c r="B189">
        <f t="shared" si="13"/>
        <v>80.901699437494742</v>
      </c>
    </row>
    <row r="190" spans="1:2">
      <c r="A190">
        <f t="shared" si="15"/>
        <v>53</v>
      </c>
      <c r="B190">
        <f t="shared" si="13"/>
        <v>79.652991802419635</v>
      </c>
    </row>
    <row r="191" spans="1:2">
      <c r="A191">
        <f t="shared" si="15"/>
        <v>53.5</v>
      </c>
      <c r="B191">
        <f t="shared" si="13"/>
        <v>78.369345732584009</v>
      </c>
    </row>
    <row r="192" spans="1:2">
      <c r="A192">
        <f t="shared" si="15"/>
        <v>54</v>
      </c>
      <c r="B192">
        <f t="shared" si="13"/>
        <v>77.051324277578942</v>
      </c>
    </row>
    <row r="193" spans="1:2">
      <c r="A193">
        <f t="shared" si="15"/>
        <v>54.5</v>
      </c>
      <c r="B193">
        <f t="shared" si="13"/>
        <v>75.69950556517567</v>
      </c>
    </row>
    <row r="194" spans="1:2">
      <c r="A194">
        <f t="shared" si="15"/>
        <v>55</v>
      </c>
      <c r="B194">
        <f t="shared" si="13"/>
        <v>74.314482547739445</v>
      </c>
    </row>
    <row r="195" spans="1:2">
      <c r="A195">
        <f t="shared" si="15"/>
        <v>55.5</v>
      </c>
      <c r="B195">
        <f t="shared" si="13"/>
        <v>72.896862742141181</v>
      </c>
    </row>
    <row r="196" spans="1:2">
      <c r="A196">
        <f t="shared" si="15"/>
        <v>56</v>
      </c>
      <c r="B196">
        <f t="shared" si="13"/>
        <v>71.447267963280353</v>
      </c>
    </row>
    <row r="197" spans="1:2">
      <c r="A197">
        <f t="shared" si="15"/>
        <v>56.5</v>
      </c>
      <c r="B197">
        <f t="shared" si="13"/>
        <v>69.96633405133656</v>
      </c>
    </row>
    <row r="198" spans="1:2">
      <c r="A198">
        <f t="shared" si="15"/>
        <v>57</v>
      </c>
      <c r="B198">
        <f t="shared" si="13"/>
        <v>68.454710592868878</v>
      </c>
    </row>
    <row r="199" spans="1:2">
      <c r="A199">
        <f t="shared" si="15"/>
        <v>57.5</v>
      </c>
      <c r="B199">
        <f t="shared" si="13"/>
        <v>66.913060635885842</v>
      </c>
    </row>
    <row r="200" spans="1:2">
      <c r="A200">
        <f t="shared" si="15"/>
        <v>58</v>
      </c>
      <c r="B200">
        <f t="shared" si="13"/>
        <v>65.342060399010563</v>
      </c>
    </row>
    <row r="201" spans="1:2">
      <c r="A201">
        <f t="shared" si="15"/>
        <v>58.5</v>
      </c>
      <c r="B201">
        <f t="shared" si="13"/>
        <v>63.742398974868983</v>
      </c>
    </row>
    <row r="202" spans="1:2">
      <c r="A202">
        <f t="shared" si="15"/>
        <v>59</v>
      </c>
      <c r="B202">
        <f t="shared" si="13"/>
        <v>62.114778027831051</v>
      </c>
    </row>
    <row r="203" spans="1:2">
      <c r="A203">
        <f t="shared" si="15"/>
        <v>59.5</v>
      </c>
      <c r="B203">
        <f t="shared" si="13"/>
        <v>60.459911486237495</v>
      </c>
    </row>
    <row r="204" spans="1:2">
      <c r="A204">
        <f t="shared" si="15"/>
        <v>60</v>
      </c>
      <c r="B204">
        <f t="shared" si="13"/>
        <v>58.778525229247322</v>
      </c>
    </row>
    <row r="205" spans="1:2">
      <c r="A205">
        <f t="shared" si="15"/>
        <v>60.5</v>
      </c>
      <c r="B205">
        <f t="shared" si="13"/>
        <v>57.071356768443216</v>
      </c>
    </row>
    <row r="206" spans="1:2">
      <c r="A206">
        <f t="shared" si="15"/>
        <v>61</v>
      </c>
      <c r="B206">
        <f t="shared" si="13"/>
        <v>55.339154924334444</v>
      </c>
    </row>
    <row r="207" spans="1:2">
      <c r="A207">
        <f t="shared" si="15"/>
        <v>61.5</v>
      </c>
      <c r="B207">
        <f t="shared" si="13"/>
        <v>53.582679497899697</v>
      </c>
    </row>
    <row r="208" spans="1:2">
      <c r="A208">
        <f t="shared" si="15"/>
        <v>62</v>
      </c>
      <c r="B208">
        <f t="shared" si="13"/>
        <v>51.802700937313062</v>
      </c>
    </row>
    <row r="209" spans="1:2">
      <c r="A209">
        <f t="shared" si="15"/>
        <v>62.5</v>
      </c>
      <c r="B209">
        <f t="shared" si="13"/>
        <v>50.000000000000036</v>
      </c>
    </row>
    <row r="210" spans="1:2">
      <c r="A210">
        <f t="shared" si="15"/>
        <v>63</v>
      </c>
      <c r="B210">
        <f t="shared" si="13"/>
        <v>48.17536741017156</v>
      </c>
    </row>
    <row r="211" spans="1:2">
      <c r="A211">
        <f t="shared" si="15"/>
        <v>63.5</v>
      </c>
      <c r="B211">
        <f t="shared" si="13"/>
        <v>46.329603511986207</v>
      </c>
    </row>
    <row r="212" spans="1:2">
      <c r="A212">
        <f t="shared" si="15"/>
        <v>64</v>
      </c>
      <c r="B212">
        <f t="shared" ref="B212:B275" si="16">Maxy*SIN(kapa*A212)</f>
        <v>44.463517918492776</v>
      </c>
    </row>
    <row r="213" spans="1:2">
      <c r="A213">
        <f t="shared" si="15"/>
        <v>64.5</v>
      </c>
      <c r="B213">
        <f t="shared" si="16"/>
        <v>42.577929156507288</v>
      </c>
    </row>
    <row r="214" spans="1:2">
      <c r="A214">
        <f t="shared" si="15"/>
        <v>65</v>
      </c>
      <c r="B214">
        <f t="shared" si="16"/>
        <v>40.67366430758004</v>
      </c>
    </row>
    <row r="215" spans="1:2">
      <c r="A215">
        <f t="shared" si="15"/>
        <v>65.5</v>
      </c>
      <c r="B215">
        <f t="shared" si="16"/>
        <v>38.751558645210316</v>
      </c>
    </row>
    <row r="216" spans="1:2">
      <c r="A216">
        <f t="shared" si="15"/>
        <v>66</v>
      </c>
      <c r="B216">
        <f t="shared" si="16"/>
        <v>36.812455268467815</v>
      </c>
    </row>
    <row r="217" spans="1:2">
      <c r="A217">
        <f t="shared" si="15"/>
        <v>66.5</v>
      </c>
      <c r="B217">
        <f t="shared" si="16"/>
        <v>34.857204732181536</v>
      </c>
    </row>
    <row r="218" spans="1:2">
      <c r="A218">
        <f t="shared" si="15"/>
        <v>67</v>
      </c>
      <c r="B218">
        <f t="shared" si="16"/>
        <v>32.886664673858341</v>
      </c>
    </row>
    <row r="219" spans="1:2">
      <c r="A219">
        <f t="shared" si="15"/>
        <v>67.5</v>
      </c>
      <c r="B219">
        <f t="shared" si="16"/>
        <v>30.901699437494752</v>
      </c>
    </row>
    <row r="220" spans="1:2">
      <c r="A220">
        <f t="shared" si="15"/>
        <v>68</v>
      </c>
      <c r="B220">
        <f t="shared" si="16"/>
        <v>28.903179694447211</v>
      </c>
    </row>
    <row r="221" spans="1:2">
      <c r="A221">
        <f t="shared" si="15"/>
        <v>68.5</v>
      </c>
      <c r="B221">
        <f t="shared" si="16"/>
        <v>26.891982061526619</v>
      </c>
    </row>
    <row r="222" spans="1:2">
      <c r="A222">
        <f t="shared" si="15"/>
        <v>69</v>
      </c>
      <c r="B222">
        <f t="shared" si="16"/>
        <v>24.868988716485525</v>
      </c>
    </row>
    <row r="223" spans="1:2">
      <c r="A223">
        <f t="shared" si="15"/>
        <v>69.5</v>
      </c>
      <c r="B223">
        <f t="shared" si="16"/>
        <v>22.835087011065617</v>
      </c>
    </row>
    <row r="224" spans="1:2">
      <c r="A224">
        <f t="shared" si="15"/>
        <v>70</v>
      </c>
      <c r="B224">
        <f t="shared" si="16"/>
        <v>20.791169081775973</v>
      </c>
    </row>
    <row r="225" spans="1:2">
      <c r="A225">
        <f t="shared" si="15"/>
        <v>70.5</v>
      </c>
      <c r="B225">
        <f t="shared" si="16"/>
        <v>18.7381314585725</v>
      </c>
    </row>
    <row r="226" spans="1:2">
      <c r="A226">
        <f t="shared" ref="A226:A237" si="17">A225+0.5</f>
        <v>71</v>
      </c>
      <c r="B226">
        <f t="shared" si="16"/>
        <v>16.67687467161026</v>
      </c>
    </row>
    <row r="227" spans="1:2">
      <c r="A227">
        <f t="shared" si="17"/>
        <v>71.5</v>
      </c>
      <c r="B227">
        <f t="shared" si="16"/>
        <v>14.608302856241192</v>
      </c>
    </row>
    <row r="228" spans="1:2">
      <c r="A228">
        <f t="shared" si="17"/>
        <v>72</v>
      </c>
      <c r="B228">
        <f t="shared" si="16"/>
        <v>12.533323356430454</v>
      </c>
    </row>
    <row r="229" spans="1:2">
      <c r="A229">
        <f t="shared" si="17"/>
        <v>72.5</v>
      </c>
      <c r="B229">
        <f t="shared" si="16"/>
        <v>10.452846326765373</v>
      </c>
    </row>
    <row r="230" spans="1:2">
      <c r="A230">
        <f t="shared" si="17"/>
        <v>73</v>
      </c>
      <c r="B230">
        <f t="shared" si="16"/>
        <v>8.3677843332315724</v>
      </c>
    </row>
    <row r="231" spans="1:2">
      <c r="A231">
        <f t="shared" si="17"/>
        <v>73.5</v>
      </c>
      <c r="B231">
        <f t="shared" si="16"/>
        <v>6.2790519529313578</v>
      </c>
    </row>
    <row r="232" spans="1:2">
      <c r="A232">
        <f t="shared" si="17"/>
        <v>74</v>
      </c>
      <c r="B232">
        <f t="shared" si="16"/>
        <v>4.1875653729199813</v>
      </c>
    </row>
    <row r="233" spans="1:2">
      <c r="A233">
        <f t="shared" si="17"/>
        <v>74.5</v>
      </c>
      <c r="B233">
        <f t="shared" si="16"/>
        <v>2.0942419883357108</v>
      </c>
    </row>
    <row r="234" spans="1:2">
      <c r="A234">
        <f t="shared" si="17"/>
        <v>75</v>
      </c>
      <c r="B234">
        <f t="shared" si="16"/>
        <v>5.6660405534092462E-14</v>
      </c>
    </row>
    <row r="235" spans="1:2">
      <c r="A235">
        <f t="shared" si="17"/>
        <v>75.5</v>
      </c>
      <c r="B235">
        <f t="shared" si="16"/>
        <v>-2.0942419883356425</v>
      </c>
    </row>
    <row r="236" spans="1:2">
      <c r="A236">
        <f t="shared" si="17"/>
        <v>76</v>
      </c>
      <c r="B236">
        <f t="shared" si="16"/>
        <v>-4.187565372919912</v>
      </c>
    </row>
    <row r="237" spans="1:2">
      <c r="A237">
        <f t="shared" si="17"/>
        <v>76.5</v>
      </c>
      <c r="B237">
        <f t="shared" si="16"/>
        <v>-6.2790519529312903</v>
      </c>
    </row>
    <row r="238" spans="1:2">
      <c r="A238">
        <f t="shared" ref="A238:A301" si="18">A237+0.5</f>
        <v>77</v>
      </c>
      <c r="B238">
        <f t="shared" si="16"/>
        <v>-8.3677843332315032</v>
      </c>
    </row>
    <row r="239" spans="1:2">
      <c r="A239">
        <f t="shared" si="18"/>
        <v>77.5</v>
      </c>
      <c r="B239">
        <f t="shared" si="16"/>
        <v>-10.452846326765306</v>
      </c>
    </row>
    <row r="240" spans="1:2">
      <c r="A240">
        <f t="shared" si="18"/>
        <v>78</v>
      </c>
      <c r="B240">
        <f t="shared" si="16"/>
        <v>-12.533323356430385</v>
      </c>
    </row>
    <row r="241" spans="1:2">
      <c r="A241">
        <f t="shared" si="18"/>
        <v>78.5</v>
      </c>
      <c r="B241">
        <f t="shared" si="16"/>
        <v>-14.608302856241126</v>
      </c>
    </row>
    <row r="242" spans="1:2">
      <c r="A242">
        <f t="shared" si="18"/>
        <v>79</v>
      </c>
      <c r="B242">
        <f t="shared" si="16"/>
        <v>-16.676874671610197</v>
      </c>
    </row>
    <row r="243" spans="1:2">
      <c r="A243">
        <f t="shared" si="18"/>
        <v>79.5</v>
      </c>
      <c r="B243">
        <f t="shared" si="16"/>
        <v>-18.738131458572433</v>
      </c>
    </row>
    <row r="244" spans="1:2">
      <c r="A244">
        <f t="shared" si="18"/>
        <v>80</v>
      </c>
      <c r="B244">
        <f t="shared" si="16"/>
        <v>-20.791169081775905</v>
      </c>
    </row>
    <row r="245" spans="1:2">
      <c r="A245">
        <f t="shared" si="18"/>
        <v>80.5</v>
      </c>
      <c r="B245">
        <f t="shared" si="16"/>
        <v>-22.83508701106555</v>
      </c>
    </row>
    <row r="246" spans="1:2">
      <c r="A246">
        <f t="shared" si="18"/>
        <v>81</v>
      </c>
      <c r="B246">
        <f t="shared" si="16"/>
        <v>-24.868988716485458</v>
      </c>
    </row>
    <row r="247" spans="1:2">
      <c r="A247">
        <f t="shared" si="18"/>
        <v>81.5</v>
      </c>
      <c r="B247">
        <f t="shared" si="16"/>
        <v>-26.891982061526555</v>
      </c>
    </row>
    <row r="248" spans="1:2">
      <c r="A248">
        <f t="shared" si="18"/>
        <v>82</v>
      </c>
      <c r="B248">
        <f t="shared" si="16"/>
        <v>-28.9031796944471</v>
      </c>
    </row>
    <row r="249" spans="1:2">
      <c r="A249">
        <f t="shared" si="18"/>
        <v>82.5</v>
      </c>
      <c r="B249">
        <f t="shared" si="16"/>
        <v>-30.901699437494688</v>
      </c>
    </row>
    <row r="250" spans="1:2">
      <c r="A250">
        <f t="shared" si="18"/>
        <v>83</v>
      </c>
      <c r="B250">
        <f t="shared" si="16"/>
        <v>-32.88666467385827</v>
      </c>
    </row>
    <row r="251" spans="1:2">
      <c r="A251">
        <f t="shared" si="18"/>
        <v>83.5</v>
      </c>
      <c r="B251">
        <f t="shared" si="16"/>
        <v>-34.857204732181472</v>
      </c>
    </row>
    <row r="252" spans="1:2">
      <c r="A252">
        <f t="shared" si="18"/>
        <v>84</v>
      </c>
      <c r="B252">
        <f t="shared" si="16"/>
        <v>-36.812455268467744</v>
      </c>
    </row>
    <row r="253" spans="1:2">
      <c r="A253">
        <f t="shared" si="18"/>
        <v>84.5</v>
      </c>
      <c r="B253">
        <f t="shared" si="16"/>
        <v>-38.751558645210253</v>
      </c>
    </row>
    <row r="254" spans="1:2">
      <c r="A254">
        <f t="shared" si="18"/>
        <v>85</v>
      </c>
      <c r="B254">
        <f t="shared" si="16"/>
        <v>-40.673664307579983</v>
      </c>
    </row>
    <row r="255" spans="1:2">
      <c r="A255">
        <f t="shared" si="18"/>
        <v>85.5</v>
      </c>
      <c r="B255">
        <f t="shared" si="16"/>
        <v>-42.577929156507224</v>
      </c>
    </row>
    <row r="256" spans="1:2">
      <c r="A256">
        <f t="shared" si="18"/>
        <v>86</v>
      </c>
      <c r="B256">
        <f t="shared" si="16"/>
        <v>-44.463517918492713</v>
      </c>
    </row>
    <row r="257" spans="1:2">
      <c r="A257">
        <f t="shared" si="18"/>
        <v>86.5</v>
      </c>
      <c r="B257">
        <f t="shared" si="16"/>
        <v>-46.329603511986143</v>
      </c>
    </row>
    <row r="258" spans="1:2">
      <c r="A258">
        <f t="shared" si="18"/>
        <v>87</v>
      </c>
      <c r="B258">
        <f t="shared" si="16"/>
        <v>-48.175367410171496</v>
      </c>
    </row>
    <row r="259" spans="1:2">
      <c r="A259">
        <f t="shared" si="18"/>
        <v>87.5</v>
      </c>
      <c r="B259">
        <f t="shared" si="16"/>
        <v>-49.999999999999972</v>
      </c>
    </row>
    <row r="260" spans="1:2">
      <c r="A260">
        <f t="shared" si="18"/>
        <v>88</v>
      </c>
      <c r="B260">
        <f t="shared" si="16"/>
        <v>-51.802700937312999</v>
      </c>
    </row>
    <row r="261" spans="1:2">
      <c r="A261">
        <f t="shared" si="18"/>
        <v>88.5</v>
      </c>
      <c r="B261">
        <f t="shared" si="16"/>
        <v>-53.58267949789964</v>
      </c>
    </row>
    <row r="262" spans="1:2">
      <c r="A262">
        <f t="shared" si="18"/>
        <v>89</v>
      </c>
      <c r="B262">
        <f t="shared" si="16"/>
        <v>-55.339154924334352</v>
      </c>
    </row>
    <row r="263" spans="1:2">
      <c r="A263">
        <f t="shared" si="18"/>
        <v>89.5</v>
      </c>
      <c r="B263">
        <f t="shared" si="16"/>
        <v>-57.071356768443117</v>
      </c>
    </row>
    <row r="264" spans="1:2">
      <c r="A264">
        <f t="shared" si="18"/>
        <v>90</v>
      </c>
      <c r="B264">
        <f t="shared" si="16"/>
        <v>-58.778525229247272</v>
      </c>
    </row>
    <row r="265" spans="1:2">
      <c r="A265">
        <f t="shared" si="18"/>
        <v>90.5</v>
      </c>
      <c r="B265">
        <f t="shared" si="16"/>
        <v>-60.459911486237438</v>
      </c>
    </row>
    <row r="266" spans="1:2">
      <c r="A266">
        <f t="shared" si="18"/>
        <v>91</v>
      </c>
      <c r="B266">
        <f t="shared" si="16"/>
        <v>-62.114778027830994</v>
      </c>
    </row>
    <row r="267" spans="1:2">
      <c r="A267">
        <f t="shared" si="18"/>
        <v>91.5</v>
      </c>
      <c r="B267">
        <f t="shared" si="16"/>
        <v>-63.742398974868934</v>
      </c>
    </row>
    <row r="268" spans="1:2">
      <c r="A268">
        <f t="shared" si="18"/>
        <v>92</v>
      </c>
      <c r="B268">
        <f t="shared" si="16"/>
        <v>-65.342060399010506</v>
      </c>
    </row>
    <row r="269" spans="1:2">
      <c r="A269">
        <f t="shared" si="18"/>
        <v>92.5</v>
      </c>
      <c r="B269">
        <f t="shared" si="16"/>
        <v>-66.913060635885785</v>
      </c>
    </row>
    <row r="270" spans="1:2">
      <c r="A270">
        <f t="shared" si="18"/>
        <v>93</v>
      </c>
      <c r="B270">
        <f t="shared" si="16"/>
        <v>-68.454710592868835</v>
      </c>
    </row>
    <row r="271" spans="1:2">
      <c r="A271">
        <f t="shared" si="18"/>
        <v>93.5</v>
      </c>
      <c r="B271">
        <f t="shared" si="16"/>
        <v>-69.966334051336503</v>
      </c>
    </row>
    <row r="272" spans="1:2">
      <c r="A272">
        <f t="shared" si="18"/>
        <v>94</v>
      </c>
      <c r="B272">
        <f t="shared" si="16"/>
        <v>-71.447267963280311</v>
      </c>
    </row>
    <row r="273" spans="1:2">
      <c r="A273">
        <f t="shared" si="18"/>
        <v>94.5</v>
      </c>
      <c r="B273">
        <f t="shared" si="16"/>
        <v>-72.896862742141138</v>
      </c>
    </row>
    <row r="274" spans="1:2">
      <c r="A274">
        <f t="shared" si="18"/>
        <v>95</v>
      </c>
      <c r="B274">
        <f t="shared" si="16"/>
        <v>-74.314482547739402</v>
      </c>
    </row>
    <row r="275" spans="1:2">
      <c r="A275">
        <f t="shared" si="18"/>
        <v>95.5</v>
      </c>
      <c r="B275">
        <f t="shared" si="16"/>
        <v>-75.699505565175627</v>
      </c>
    </row>
    <row r="276" spans="1:2">
      <c r="A276">
        <f t="shared" si="18"/>
        <v>96</v>
      </c>
      <c r="B276">
        <f t="shared" ref="B276:B339" si="19">Maxy*SIN(kapa*A276)</f>
        <v>-77.051324277578885</v>
      </c>
    </row>
    <row r="277" spans="1:2">
      <c r="A277">
        <f t="shared" si="18"/>
        <v>96.5</v>
      </c>
      <c r="B277">
        <f t="shared" si="19"/>
        <v>-78.369345732583966</v>
      </c>
    </row>
    <row r="278" spans="1:2">
      <c r="A278">
        <f t="shared" si="18"/>
        <v>97</v>
      </c>
      <c r="B278">
        <f t="shared" si="19"/>
        <v>-79.652991802419592</v>
      </c>
    </row>
    <row r="279" spans="1:2">
      <c r="A279">
        <f t="shared" si="18"/>
        <v>97.5</v>
      </c>
      <c r="B279">
        <f t="shared" si="19"/>
        <v>-80.901699437494727</v>
      </c>
    </row>
    <row r="280" spans="1:2">
      <c r="A280">
        <f t="shared" si="18"/>
        <v>98</v>
      </c>
      <c r="B280">
        <f t="shared" si="19"/>
        <v>-82.114920913370369</v>
      </c>
    </row>
    <row r="281" spans="1:2">
      <c r="A281">
        <f t="shared" si="18"/>
        <v>98.5</v>
      </c>
      <c r="B281">
        <f t="shared" si="19"/>
        <v>-83.292124071009937</v>
      </c>
    </row>
    <row r="282" spans="1:2">
      <c r="A282">
        <f t="shared" si="18"/>
        <v>99</v>
      </c>
      <c r="B282">
        <f t="shared" si="19"/>
        <v>-84.432792550201484</v>
      </c>
    </row>
    <row r="283" spans="1:2">
      <c r="A283">
        <f t="shared" si="18"/>
        <v>99.5</v>
      </c>
      <c r="B283">
        <f t="shared" si="19"/>
        <v>-85.536426016050655</v>
      </c>
    </row>
    <row r="284" spans="1:2">
      <c r="A284">
        <f t="shared" si="18"/>
        <v>100</v>
      </c>
      <c r="B284">
        <f t="shared" si="19"/>
        <v>-86.602540378443834</v>
      </c>
    </row>
    <row r="285" spans="1:2">
      <c r="A285">
        <f t="shared" si="18"/>
        <v>100.5</v>
      </c>
      <c r="B285">
        <f t="shared" si="19"/>
        <v>-87.630668004386308</v>
      </c>
    </row>
    <row r="286" spans="1:2">
      <c r="A286">
        <f t="shared" si="18"/>
        <v>101</v>
      </c>
      <c r="B286">
        <f t="shared" si="19"/>
        <v>-88.620357923121446</v>
      </c>
    </row>
    <row r="287" spans="1:2">
      <c r="A287">
        <f t="shared" si="18"/>
        <v>101.5</v>
      </c>
      <c r="B287">
        <f t="shared" si="19"/>
        <v>-89.571176023941248</v>
      </c>
    </row>
    <row r="288" spans="1:2">
      <c r="A288">
        <f t="shared" si="18"/>
        <v>102</v>
      </c>
      <c r="B288">
        <f t="shared" si="19"/>
        <v>-90.482705246601938</v>
      </c>
    </row>
    <row r="289" spans="1:2">
      <c r="A289">
        <f t="shared" si="18"/>
        <v>102.5</v>
      </c>
      <c r="B289">
        <f t="shared" si="19"/>
        <v>-91.354545764260052</v>
      </c>
    </row>
    <row r="290" spans="1:2">
      <c r="A290">
        <f t="shared" si="18"/>
        <v>103</v>
      </c>
      <c r="B290">
        <f t="shared" si="19"/>
        <v>-92.186315158850036</v>
      </c>
    </row>
    <row r="291" spans="1:2">
      <c r="A291">
        <f t="shared" si="18"/>
        <v>103.5</v>
      </c>
      <c r="B291">
        <f t="shared" si="19"/>
        <v>-92.977648588825119</v>
      </c>
    </row>
    <row r="292" spans="1:2">
      <c r="A292">
        <f t="shared" si="18"/>
        <v>104</v>
      </c>
      <c r="B292">
        <f t="shared" si="19"/>
        <v>-93.728198949189149</v>
      </c>
    </row>
    <row r="293" spans="1:2">
      <c r="A293">
        <f t="shared" si="18"/>
        <v>104.5</v>
      </c>
      <c r="B293">
        <f t="shared" si="19"/>
        <v>-94.437637023748096</v>
      </c>
    </row>
    <row r="294" spans="1:2">
      <c r="A294">
        <f t="shared" si="18"/>
        <v>105</v>
      </c>
      <c r="B294">
        <f t="shared" si="19"/>
        <v>-95.10565162951535</v>
      </c>
    </row>
    <row r="295" spans="1:2">
      <c r="A295">
        <f t="shared" si="18"/>
        <v>105.5</v>
      </c>
      <c r="B295">
        <f t="shared" si="19"/>
        <v>-95.73194975320672</v>
      </c>
    </row>
    <row r="296" spans="1:2">
      <c r="A296">
        <f t="shared" si="18"/>
        <v>106</v>
      </c>
      <c r="B296">
        <f t="shared" si="19"/>
        <v>-96.316256679765814</v>
      </c>
    </row>
    <row r="297" spans="1:2">
      <c r="A297">
        <f t="shared" si="18"/>
        <v>106.5</v>
      </c>
      <c r="B297">
        <f t="shared" si="19"/>
        <v>-96.858316112863093</v>
      </c>
    </row>
    <row r="298" spans="1:2">
      <c r="A298">
        <f t="shared" si="18"/>
        <v>107</v>
      </c>
      <c r="B298">
        <f t="shared" si="19"/>
        <v>-97.35789028731601</v>
      </c>
    </row>
    <row r="299" spans="1:2">
      <c r="A299">
        <f t="shared" si="18"/>
        <v>107.5</v>
      </c>
      <c r="B299">
        <f t="shared" si="19"/>
        <v>-97.814760073380555</v>
      </c>
    </row>
    <row r="300" spans="1:2">
      <c r="A300">
        <f t="shared" si="18"/>
        <v>108</v>
      </c>
      <c r="B300">
        <f t="shared" si="19"/>
        <v>-98.228725072868855</v>
      </c>
    </row>
    <row r="301" spans="1:2">
      <c r="A301">
        <f t="shared" si="18"/>
        <v>108.5</v>
      </c>
      <c r="B301">
        <f t="shared" si="19"/>
        <v>-98.599603707050491</v>
      </c>
    </row>
    <row r="302" spans="1:2">
      <c r="A302">
        <f t="shared" ref="A302:A365" si="20">A301+0.5</f>
        <v>109</v>
      </c>
      <c r="B302">
        <f t="shared" si="19"/>
        <v>-98.927233296298823</v>
      </c>
    </row>
    <row r="303" spans="1:2">
      <c r="A303">
        <f t="shared" si="20"/>
        <v>109.5</v>
      </c>
      <c r="B303">
        <f t="shared" si="19"/>
        <v>-99.211470131447783</v>
      </c>
    </row>
    <row r="304" spans="1:2">
      <c r="A304">
        <f t="shared" si="20"/>
        <v>110</v>
      </c>
      <c r="B304">
        <f t="shared" si="19"/>
        <v>-99.452189536827333</v>
      </c>
    </row>
    <row r="305" spans="1:2">
      <c r="A305">
        <f t="shared" si="20"/>
        <v>110.5</v>
      </c>
      <c r="B305">
        <f t="shared" si="19"/>
        <v>-99.649285924950419</v>
      </c>
    </row>
    <row r="306" spans="1:2">
      <c r="A306">
        <f t="shared" si="20"/>
        <v>111</v>
      </c>
      <c r="B306">
        <f t="shared" si="19"/>
        <v>-99.80267284282715</v>
      </c>
    </row>
    <row r="307" spans="1:2">
      <c r="A307">
        <f t="shared" si="20"/>
        <v>111.5</v>
      </c>
      <c r="B307">
        <f t="shared" si="19"/>
        <v>-99.91228300988584</v>
      </c>
    </row>
    <row r="308" spans="1:2">
      <c r="A308">
        <f t="shared" si="20"/>
        <v>112</v>
      </c>
      <c r="B308">
        <f t="shared" si="19"/>
        <v>-99.978068347484552</v>
      </c>
    </row>
    <row r="309" spans="1:2">
      <c r="A309">
        <f t="shared" si="20"/>
        <v>112.5</v>
      </c>
      <c r="B309">
        <f t="shared" si="19"/>
        <v>-100</v>
      </c>
    </row>
    <row r="310" spans="1:2">
      <c r="A310">
        <f t="shared" si="20"/>
        <v>113</v>
      </c>
      <c r="B310">
        <f t="shared" si="19"/>
        <v>-99.978068347484552</v>
      </c>
    </row>
    <row r="311" spans="1:2">
      <c r="A311">
        <f t="shared" si="20"/>
        <v>113.5</v>
      </c>
      <c r="B311">
        <f t="shared" si="19"/>
        <v>-99.91228300988584</v>
      </c>
    </row>
    <row r="312" spans="1:2">
      <c r="A312">
        <f t="shared" si="20"/>
        <v>114</v>
      </c>
      <c r="B312">
        <f t="shared" si="19"/>
        <v>-99.80267284282715</v>
      </c>
    </row>
    <row r="313" spans="1:2">
      <c r="A313">
        <f t="shared" si="20"/>
        <v>114.5</v>
      </c>
      <c r="B313">
        <f t="shared" si="19"/>
        <v>-99.649285924950433</v>
      </c>
    </row>
    <row r="314" spans="1:2">
      <c r="A314">
        <f t="shared" si="20"/>
        <v>115</v>
      </c>
      <c r="B314">
        <f t="shared" si="19"/>
        <v>-99.452189536827333</v>
      </c>
    </row>
    <row r="315" spans="1:2">
      <c r="A315">
        <f t="shared" si="20"/>
        <v>115.5</v>
      </c>
      <c r="B315">
        <f t="shared" si="19"/>
        <v>-99.211470131447797</v>
      </c>
    </row>
    <row r="316" spans="1:2">
      <c r="A316">
        <f t="shared" si="20"/>
        <v>116</v>
      </c>
      <c r="B316">
        <f t="shared" si="19"/>
        <v>-98.927233296298837</v>
      </c>
    </row>
    <row r="317" spans="1:2">
      <c r="A317">
        <f t="shared" si="20"/>
        <v>116.5</v>
      </c>
      <c r="B317">
        <f t="shared" si="19"/>
        <v>-98.599603707050505</v>
      </c>
    </row>
    <row r="318" spans="1:2">
      <c r="A318">
        <f t="shared" si="20"/>
        <v>117</v>
      </c>
      <c r="B318">
        <f t="shared" si="19"/>
        <v>-98.228725072868869</v>
      </c>
    </row>
    <row r="319" spans="1:2">
      <c r="A319">
        <f t="shared" si="20"/>
        <v>117.5</v>
      </c>
      <c r="B319">
        <f t="shared" si="19"/>
        <v>-97.814760073380583</v>
      </c>
    </row>
    <row r="320" spans="1:2">
      <c r="A320">
        <f t="shared" si="20"/>
        <v>118</v>
      </c>
      <c r="B320">
        <f t="shared" si="19"/>
        <v>-97.357890287316025</v>
      </c>
    </row>
    <row r="321" spans="1:2">
      <c r="A321">
        <f t="shared" si="20"/>
        <v>118.5</v>
      </c>
      <c r="B321">
        <f t="shared" si="19"/>
        <v>-96.858316112863136</v>
      </c>
    </row>
    <row r="322" spans="1:2">
      <c r="A322">
        <f t="shared" si="20"/>
        <v>119</v>
      </c>
      <c r="B322">
        <f t="shared" si="19"/>
        <v>-96.316256679765814</v>
      </c>
    </row>
    <row r="323" spans="1:2">
      <c r="A323">
        <f t="shared" si="20"/>
        <v>119.5</v>
      </c>
      <c r="B323">
        <f t="shared" si="19"/>
        <v>-95.731949753206749</v>
      </c>
    </row>
    <row r="324" spans="1:2">
      <c r="A324">
        <f t="shared" si="20"/>
        <v>120</v>
      </c>
      <c r="B324">
        <f t="shared" si="19"/>
        <v>-95.105651629515364</v>
      </c>
    </row>
    <row r="325" spans="1:2">
      <c r="A325">
        <f t="shared" si="20"/>
        <v>120.5</v>
      </c>
      <c r="B325">
        <f t="shared" si="19"/>
        <v>-94.437637023748124</v>
      </c>
    </row>
    <row r="326" spans="1:2">
      <c r="A326">
        <f t="shared" si="20"/>
        <v>121</v>
      </c>
      <c r="B326">
        <f t="shared" si="19"/>
        <v>-93.728198949189192</v>
      </c>
    </row>
    <row r="327" spans="1:2">
      <c r="A327">
        <f t="shared" si="20"/>
        <v>121.5</v>
      </c>
      <c r="B327">
        <f t="shared" si="19"/>
        <v>-92.977648588825161</v>
      </c>
    </row>
    <row r="328" spans="1:2">
      <c r="A328">
        <f t="shared" si="20"/>
        <v>122</v>
      </c>
      <c r="B328">
        <f t="shared" si="19"/>
        <v>-92.186315158850078</v>
      </c>
    </row>
    <row r="329" spans="1:2">
      <c r="A329">
        <f t="shared" si="20"/>
        <v>122.5</v>
      </c>
      <c r="B329">
        <f t="shared" si="19"/>
        <v>-91.354545764260109</v>
      </c>
    </row>
    <row r="330" spans="1:2">
      <c r="A330">
        <f t="shared" si="20"/>
        <v>123</v>
      </c>
      <c r="B330">
        <f t="shared" si="19"/>
        <v>-90.482705246601995</v>
      </c>
    </row>
    <row r="331" spans="1:2">
      <c r="A331">
        <f t="shared" si="20"/>
        <v>123.5</v>
      </c>
      <c r="B331">
        <f t="shared" si="19"/>
        <v>-89.571176023941305</v>
      </c>
    </row>
    <row r="332" spans="1:2">
      <c r="A332">
        <f t="shared" si="20"/>
        <v>124</v>
      </c>
      <c r="B332">
        <f t="shared" si="19"/>
        <v>-88.620357923121503</v>
      </c>
    </row>
    <row r="333" spans="1:2">
      <c r="A333">
        <f t="shared" si="20"/>
        <v>124.5</v>
      </c>
      <c r="B333">
        <f t="shared" si="19"/>
        <v>-87.630668004386379</v>
      </c>
    </row>
    <row r="334" spans="1:2">
      <c r="A334">
        <f t="shared" si="20"/>
        <v>125</v>
      </c>
      <c r="B334">
        <f t="shared" si="19"/>
        <v>-86.602540378443905</v>
      </c>
    </row>
    <row r="335" spans="1:2">
      <c r="A335">
        <f t="shared" si="20"/>
        <v>125.5</v>
      </c>
      <c r="B335">
        <f t="shared" si="19"/>
        <v>-85.536426016050683</v>
      </c>
    </row>
    <row r="336" spans="1:2">
      <c r="A336">
        <f t="shared" si="20"/>
        <v>126</v>
      </c>
      <c r="B336">
        <f t="shared" si="19"/>
        <v>-84.432792550201555</v>
      </c>
    </row>
    <row r="337" spans="1:2">
      <c r="A337">
        <f t="shared" si="20"/>
        <v>126.5</v>
      </c>
      <c r="B337">
        <f t="shared" si="19"/>
        <v>-83.292124071009965</v>
      </c>
    </row>
    <row r="338" spans="1:2">
      <c r="A338">
        <f t="shared" si="20"/>
        <v>127</v>
      </c>
      <c r="B338">
        <f t="shared" si="19"/>
        <v>-82.11492091337044</v>
      </c>
    </row>
    <row r="339" spans="1:2">
      <c r="A339">
        <f t="shared" si="20"/>
        <v>127.5</v>
      </c>
      <c r="B339">
        <f t="shared" si="19"/>
        <v>-80.901699437494756</v>
      </c>
    </row>
    <row r="340" spans="1:2">
      <c r="A340">
        <f t="shared" si="20"/>
        <v>128</v>
      </c>
      <c r="B340">
        <f t="shared" ref="B340:B403" si="21">Maxy*SIN(kapa*A340)</f>
        <v>-79.652991802419677</v>
      </c>
    </row>
    <row r="341" spans="1:2">
      <c r="A341">
        <f t="shared" si="20"/>
        <v>128.5</v>
      </c>
      <c r="B341">
        <f t="shared" si="21"/>
        <v>-78.369345732584037</v>
      </c>
    </row>
    <row r="342" spans="1:2">
      <c r="A342">
        <f t="shared" si="20"/>
        <v>129</v>
      </c>
      <c r="B342">
        <f t="shared" si="21"/>
        <v>-77.051324277578956</v>
      </c>
    </row>
    <row r="343" spans="1:2">
      <c r="A343">
        <f t="shared" si="20"/>
        <v>129.5</v>
      </c>
      <c r="B343">
        <f t="shared" si="21"/>
        <v>-75.699505565175713</v>
      </c>
    </row>
    <row r="344" spans="1:2">
      <c r="A344">
        <f t="shared" si="20"/>
        <v>130</v>
      </c>
      <c r="B344">
        <f t="shared" si="21"/>
        <v>-74.314482547739459</v>
      </c>
    </row>
    <row r="345" spans="1:2">
      <c r="A345">
        <f t="shared" si="20"/>
        <v>130.5</v>
      </c>
      <c r="B345">
        <f t="shared" si="21"/>
        <v>-72.896862742141209</v>
      </c>
    </row>
    <row r="346" spans="1:2">
      <c r="A346">
        <f t="shared" si="20"/>
        <v>131</v>
      </c>
      <c r="B346">
        <f t="shared" si="21"/>
        <v>-71.447267963280368</v>
      </c>
    </row>
    <row r="347" spans="1:2">
      <c r="A347">
        <f t="shared" si="20"/>
        <v>131.5</v>
      </c>
      <c r="B347">
        <f t="shared" si="21"/>
        <v>-69.966334051336602</v>
      </c>
    </row>
    <row r="348" spans="1:2">
      <c r="A348">
        <f t="shared" si="20"/>
        <v>132</v>
      </c>
      <c r="B348">
        <f t="shared" si="21"/>
        <v>-68.454710592868892</v>
      </c>
    </row>
    <row r="349" spans="1:2">
      <c r="A349">
        <f t="shared" si="20"/>
        <v>132.5</v>
      </c>
      <c r="B349">
        <f t="shared" si="21"/>
        <v>-66.913060635885884</v>
      </c>
    </row>
    <row r="350" spans="1:2">
      <c r="A350">
        <f t="shared" si="20"/>
        <v>133</v>
      </c>
      <c r="B350">
        <f t="shared" si="21"/>
        <v>-65.342060399010577</v>
      </c>
    </row>
    <row r="351" spans="1:2">
      <c r="A351">
        <f t="shared" si="20"/>
        <v>133.5</v>
      </c>
      <c r="B351">
        <f t="shared" si="21"/>
        <v>-63.742398974869033</v>
      </c>
    </row>
    <row r="352" spans="1:2">
      <c r="A352">
        <f t="shared" si="20"/>
        <v>134</v>
      </c>
      <c r="B352">
        <f t="shared" si="21"/>
        <v>-62.114778027831065</v>
      </c>
    </row>
    <row r="353" spans="1:2">
      <c r="A353">
        <f t="shared" si="20"/>
        <v>134.5</v>
      </c>
      <c r="B353">
        <f t="shared" si="21"/>
        <v>-60.459911486237537</v>
      </c>
    </row>
    <row r="354" spans="1:2">
      <c r="A354">
        <f t="shared" si="20"/>
        <v>135</v>
      </c>
      <c r="B354">
        <f t="shared" si="21"/>
        <v>-58.778525229247336</v>
      </c>
    </row>
    <row r="355" spans="1:2">
      <c r="A355">
        <f t="shared" si="20"/>
        <v>135.5</v>
      </c>
      <c r="B355">
        <f t="shared" si="21"/>
        <v>-57.071356768443223</v>
      </c>
    </row>
    <row r="356" spans="1:2">
      <c r="A356">
        <f t="shared" si="20"/>
        <v>136</v>
      </c>
      <c r="B356">
        <f t="shared" si="21"/>
        <v>-55.339154924334501</v>
      </c>
    </row>
    <row r="357" spans="1:2">
      <c r="A357">
        <f t="shared" si="20"/>
        <v>136.5</v>
      </c>
      <c r="B357">
        <f t="shared" si="21"/>
        <v>-53.582679497899711</v>
      </c>
    </row>
    <row r="358" spans="1:2">
      <c r="A358">
        <f t="shared" si="20"/>
        <v>137</v>
      </c>
      <c r="B358">
        <f t="shared" si="21"/>
        <v>-51.802700937313105</v>
      </c>
    </row>
    <row r="359" spans="1:2">
      <c r="A359">
        <f t="shared" si="20"/>
        <v>137.5</v>
      </c>
      <c r="B359">
        <f t="shared" si="21"/>
        <v>-50.000000000000043</v>
      </c>
    </row>
    <row r="360" spans="1:2">
      <c r="A360">
        <f t="shared" si="20"/>
        <v>138</v>
      </c>
      <c r="B360">
        <f t="shared" si="21"/>
        <v>-48.17536741017161</v>
      </c>
    </row>
    <row r="361" spans="1:2">
      <c r="A361">
        <f t="shared" si="20"/>
        <v>138.5</v>
      </c>
      <c r="B361">
        <f t="shared" si="21"/>
        <v>-46.329603511986214</v>
      </c>
    </row>
    <row r="362" spans="1:2">
      <c r="A362">
        <f t="shared" si="20"/>
        <v>139</v>
      </c>
      <c r="B362">
        <f t="shared" si="21"/>
        <v>-44.463517918492826</v>
      </c>
    </row>
    <row r="363" spans="1:2">
      <c r="A363">
        <f t="shared" si="20"/>
        <v>139.5</v>
      </c>
      <c r="B363">
        <f t="shared" si="21"/>
        <v>-42.577929156507302</v>
      </c>
    </row>
    <row r="364" spans="1:2">
      <c r="A364">
        <f t="shared" si="20"/>
        <v>140</v>
      </c>
      <c r="B364">
        <f t="shared" si="21"/>
        <v>-40.67366430758009</v>
      </c>
    </row>
    <row r="365" spans="1:2">
      <c r="A365">
        <f t="shared" si="20"/>
        <v>140.5</v>
      </c>
      <c r="B365">
        <f t="shared" si="21"/>
        <v>-38.751558645210324</v>
      </c>
    </row>
    <row r="366" spans="1:2">
      <c r="A366">
        <f t="shared" ref="A366:A389" si="22">A365+0.5</f>
        <v>141</v>
      </c>
      <c r="B366">
        <f t="shared" si="21"/>
        <v>-36.812455268467872</v>
      </c>
    </row>
    <row r="367" spans="1:2">
      <c r="A367">
        <f t="shared" si="22"/>
        <v>141.5</v>
      </c>
      <c r="B367">
        <f t="shared" si="21"/>
        <v>-34.85720473218155</v>
      </c>
    </row>
    <row r="368" spans="1:2">
      <c r="A368">
        <f t="shared" si="22"/>
        <v>142</v>
      </c>
      <c r="B368">
        <f t="shared" si="21"/>
        <v>-32.886664673858391</v>
      </c>
    </row>
    <row r="369" spans="1:2">
      <c r="A369">
        <f t="shared" si="22"/>
        <v>142.5</v>
      </c>
      <c r="B369">
        <f t="shared" si="21"/>
        <v>-30.901699437494852</v>
      </c>
    </row>
    <row r="370" spans="1:2">
      <c r="A370">
        <f t="shared" si="22"/>
        <v>143</v>
      </c>
      <c r="B370">
        <f t="shared" si="21"/>
        <v>-28.903179694447225</v>
      </c>
    </row>
    <row r="371" spans="1:2">
      <c r="A371">
        <f t="shared" si="22"/>
        <v>143.5</v>
      </c>
      <c r="B371">
        <f t="shared" si="21"/>
        <v>-26.891982061526669</v>
      </c>
    </row>
    <row r="372" spans="1:2">
      <c r="A372">
        <f t="shared" si="22"/>
        <v>144</v>
      </c>
      <c r="B372">
        <f t="shared" si="21"/>
        <v>-24.868988716485536</v>
      </c>
    </row>
    <row r="373" spans="1:2">
      <c r="A373">
        <f t="shared" si="22"/>
        <v>144.5</v>
      </c>
      <c r="B373">
        <f t="shared" si="21"/>
        <v>-22.835087011065671</v>
      </c>
    </row>
    <row r="374" spans="1:2">
      <c r="A374">
        <f t="shared" si="22"/>
        <v>145</v>
      </c>
      <c r="B374">
        <f t="shared" si="21"/>
        <v>-20.791169081775987</v>
      </c>
    </row>
    <row r="375" spans="1:2">
      <c r="A375">
        <f t="shared" si="22"/>
        <v>145.5</v>
      </c>
      <c r="B375">
        <f t="shared" si="21"/>
        <v>-18.738131458572557</v>
      </c>
    </row>
    <row r="376" spans="1:2">
      <c r="A376">
        <f t="shared" si="22"/>
        <v>146</v>
      </c>
      <c r="B376">
        <f t="shared" si="21"/>
        <v>-16.676874671610271</v>
      </c>
    </row>
    <row r="377" spans="1:2">
      <c r="A377">
        <f t="shared" si="22"/>
        <v>146.5</v>
      </c>
      <c r="B377">
        <f t="shared" si="21"/>
        <v>-14.60830285624125</v>
      </c>
    </row>
    <row r="378" spans="1:2">
      <c r="A378">
        <f t="shared" si="22"/>
        <v>147</v>
      </c>
      <c r="B378">
        <f t="shared" si="21"/>
        <v>-12.533323356430465</v>
      </c>
    </row>
    <row r="379" spans="1:2">
      <c r="A379">
        <f t="shared" si="22"/>
        <v>147.5</v>
      </c>
      <c r="B379">
        <f t="shared" si="21"/>
        <v>-10.45284632676543</v>
      </c>
    </row>
    <row r="380" spans="1:2">
      <c r="A380">
        <f t="shared" si="22"/>
        <v>148</v>
      </c>
      <c r="B380">
        <f t="shared" si="21"/>
        <v>-8.3677843332315849</v>
      </c>
    </row>
    <row r="381" spans="1:2">
      <c r="A381">
        <f t="shared" si="22"/>
        <v>148.5</v>
      </c>
      <c r="B381">
        <f t="shared" si="21"/>
        <v>-6.2790519529314155</v>
      </c>
    </row>
    <row r="382" spans="1:2">
      <c r="A382">
        <f t="shared" si="22"/>
        <v>149</v>
      </c>
      <c r="B382">
        <f t="shared" si="21"/>
        <v>-4.1875653729199938</v>
      </c>
    </row>
    <row r="383" spans="1:2">
      <c r="A383">
        <f t="shared" si="22"/>
        <v>149.5</v>
      </c>
      <c r="B383">
        <f t="shared" si="21"/>
        <v>-2.0942419883357677</v>
      </c>
    </row>
    <row r="384" spans="1:2">
      <c r="A384">
        <f t="shared" si="22"/>
        <v>150</v>
      </c>
      <c r="B384">
        <f t="shared" si="21"/>
        <v>-1.1332081106818492E-13</v>
      </c>
    </row>
    <row r="385" spans="1:2">
      <c r="A385">
        <f t="shared" si="22"/>
        <v>150.5</v>
      </c>
      <c r="B385">
        <f t="shared" si="21"/>
        <v>2.09424198833563</v>
      </c>
    </row>
    <row r="386" spans="1:2">
      <c r="A386">
        <f t="shared" si="22"/>
        <v>151</v>
      </c>
      <c r="B386">
        <f t="shared" si="21"/>
        <v>4.1875653729198552</v>
      </c>
    </row>
    <row r="387" spans="1:2">
      <c r="A387">
        <f t="shared" si="22"/>
        <v>151.5</v>
      </c>
      <c r="B387">
        <f t="shared" si="21"/>
        <v>6.2790519529312778</v>
      </c>
    </row>
    <row r="388" spans="1:2">
      <c r="A388">
        <f t="shared" si="22"/>
        <v>152</v>
      </c>
      <c r="B388">
        <f t="shared" si="21"/>
        <v>8.3677843332314481</v>
      </c>
    </row>
    <row r="389" spans="1:2">
      <c r="A389">
        <f t="shared" si="22"/>
        <v>152.5</v>
      </c>
      <c r="B389">
        <f t="shared" si="21"/>
        <v>10.452846326765293</v>
      </c>
    </row>
    <row r="390" spans="1:2">
      <c r="A390">
        <f t="shared" ref="A390:A453" si="23">A389+0.5</f>
        <v>153</v>
      </c>
      <c r="B390">
        <f t="shared" si="21"/>
        <v>12.533323356430328</v>
      </c>
    </row>
    <row r="391" spans="1:2">
      <c r="A391">
        <f t="shared" si="23"/>
        <v>153.5</v>
      </c>
      <c r="B391">
        <f t="shared" si="21"/>
        <v>14.608302856241112</v>
      </c>
    </row>
    <row r="392" spans="1:2">
      <c r="A392">
        <f t="shared" si="23"/>
        <v>154</v>
      </c>
      <c r="B392">
        <f t="shared" si="21"/>
        <v>16.676874671610136</v>
      </c>
    </row>
    <row r="393" spans="1:2">
      <c r="A393">
        <f t="shared" si="23"/>
        <v>154.5</v>
      </c>
      <c r="B393">
        <f t="shared" si="21"/>
        <v>18.738131458572422</v>
      </c>
    </row>
    <row r="394" spans="1:2">
      <c r="A394">
        <f t="shared" si="23"/>
        <v>155</v>
      </c>
      <c r="B394">
        <f t="shared" si="21"/>
        <v>20.791169081775852</v>
      </c>
    </row>
    <row r="395" spans="1:2">
      <c r="A395">
        <f t="shared" si="23"/>
        <v>155.5</v>
      </c>
      <c r="B395">
        <f t="shared" si="21"/>
        <v>22.835087011065539</v>
      </c>
    </row>
    <row r="396" spans="1:2">
      <c r="A396">
        <f t="shared" si="23"/>
        <v>156</v>
      </c>
      <c r="B396">
        <f t="shared" si="21"/>
        <v>24.868988716485401</v>
      </c>
    </row>
    <row r="397" spans="1:2">
      <c r="A397">
        <f t="shared" si="23"/>
        <v>156.5</v>
      </c>
      <c r="B397">
        <f t="shared" si="21"/>
        <v>26.891982061526456</v>
      </c>
    </row>
    <row r="398" spans="1:2">
      <c r="A398">
        <f t="shared" si="23"/>
        <v>157</v>
      </c>
      <c r="B398">
        <f t="shared" si="21"/>
        <v>28.90317969444709</v>
      </c>
    </row>
    <row r="399" spans="1:2">
      <c r="A399">
        <f t="shared" si="23"/>
        <v>157.5</v>
      </c>
      <c r="B399">
        <f t="shared" si="21"/>
        <v>30.901699437494635</v>
      </c>
    </row>
    <row r="400" spans="1:2">
      <c r="A400">
        <f t="shared" si="23"/>
        <v>158</v>
      </c>
      <c r="B400">
        <f t="shared" si="21"/>
        <v>32.886664673858263</v>
      </c>
    </row>
    <row r="401" spans="1:2">
      <c r="A401">
        <f t="shared" si="23"/>
        <v>158.5</v>
      </c>
      <c r="B401">
        <f t="shared" si="21"/>
        <v>34.857204732181415</v>
      </c>
    </row>
    <row r="402" spans="1:2">
      <c r="A402">
        <f t="shared" si="23"/>
        <v>159</v>
      </c>
      <c r="B402">
        <f t="shared" si="21"/>
        <v>36.812455268467737</v>
      </c>
    </row>
    <row r="403" spans="1:2">
      <c r="A403">
        <f t="shared" si="23"/>
        <v>159.5</v>
      </c>
      <c r="B403">
        <f t="shared" si="21"/>
        <v>38.751558645210203</v>
      </c>
    </row>
    <row r="404" spans="1:2">
      <c r="A404">
        <f t="shared" si="23"/>
        <v>160</v>
      </c>
      <c r="B404">
        <f t="shared" ref="B404:B467" si="24">Maxy*SIN(kapa*A404)</f>
        <v>40.673664307579969</v>
      </c>
    </row>
    <row r="405" spans="1:2">
      <c r="A405">
        <f t="shared" si="23"/>
        <v>160.5</v>
      </c>
      <c r="B405">
        <f t="shared" si="24"/>
        <v>42.577929156507174</v>
      </c>
    </row>
    <row r="406" spans="1:2">
      <c r="A406">
        <f t="shared" si="23"/>
        <v>161</v>
      </c>
      <c r="B406">
        <f t="shared" si="24"/>
        <v>44.463517918492698</v>
      </c>
    </row>
    <row r="407" spans="1:2">
      <c r="A407">
        <f t="shared" si="23"/>
        <v>161.5</v>
      </c>
      <c r="B407">
        <f t="shared" si="24"/>
        <v>46.329603511986086</v>
      </c>
    </row>
    <row r="408" spans="1:2">
      <c r="A408">
        <f t="shared" si="23"/>
        <v>162</v>
      </c>
      <c r="B408">
        <f t="shared" si="24"/>
        <v>48.175367410171489</v>
      </c>
    </row>
    <row r="409" spans="1:2">
      <c r="A409">
        <f t="shared" si="23"/>
        <v>162.5</v>
      </c>
      <c r="B409">
        <f t="shared" si="24"/>
        <v>49.999999999999929</v>
      </c>
    </row>
    <row r="410" spans="1:2">
      <c r="A410">
        <f t="shared" si="23"/>
        <v>163</v>
      </c>
      <c r="B410">
        <f t="shared" si="24"/>
        <v>51.802700937312984</v>
      </c>
    </row>
    <row r="411" spans="1:2">
      <c r="A411">
        <f t="shared" si="23"/>
        <v>163.5</v>
      </c>
      <c r="B411">
        <f t="shared" si="24"/>
        <v>53.582679497899598</v>
      </c>
    </row>
    <row r="412" spans="1:2">
      <c r="A412">
        <f t="shared" si="23"/>
        <v>164</v>
      </c>
      <c r="B412">
        <f t="shared" si="24"/>
        <v>55.339154924334309</v>
      </c>
    </row>
    <row r="413" spans="1:2">
      <c r="A413">
        <f t="shared" si="23"/>
        <v>164.5</v>
      </c>
      <c r="B413">
        <f t="shared" si="24"/>
        <v>57.071356768443103</v>
      </c>
    </row>
    <row r="414" spans="1:2">
      <c r="A414">
        <f t="shared" si="23"/>
        <v>165</v>
      </c>
      <c r="B414">
        <f t="shared" si="24"/>
        <v>58.778525229247215</v>
      </c>
    </row>
    <row r="415" spans="1:2">
      <c r="A415">
        <f t="shared" si="23"/>
        <v>165.5</v>
      </c>
      <c r="B415">
        <f t="shared" si="24"/>
        <v>60.459911486237431</v>
      </c>
    </row>
    <row r="416" spans="1:2">
      <c r="A416">
        <f t="shared" si="23"/>
        <v>166</v>
      </c>
      <c r="B416">
        <f t="shared" si="24"/>
        <v>62.114778027830951</v>
      </c>
    </row>
    <row r="417" spans="1:2">
      <c r="A417">
        <f t="shared" si="23"/>
        <v>166.5</v>
      </c>
      <c r="B417">
        <f t="shared" si="24"/>
        <v>63.742398974868919</v>
      </c>
    </row>
    <row r="418" spans="1:2">
      <c r="A418">
        <f t="shared" si="23"/>
        <v>167</v>
      </c>
      <c r="B418">
        <f t="shared" si="24"/>
        <v>65.342060399010464</v>
      </c>
    </row>
    <row r="419" spans="1:2">
      <c r="A419">
        <f t="shared" si="23"/>
        <v>167.5</v>
      </c>
      <c r="B419">
        <f t="shared" si="24"/>
        <v>66.913060635885785</v>
      </c>
    </row>
    <row r="420" spans="1:2">
      <c r="A420">
        <f t="shared" si="23"/>
        <v>168</v>
      </c>
      <c r="B420">
        <f t="shared" si="24"/>
        <v>68.454710592868793</v>
      </c>
    </row>
    <row r="421" spans="1:2">
      <c r="A421">
        <f t="shared" si="23"/>
        <v>168.5</v>
      </c>
      <c r="B421">
        <f t="shared" si="24"/>
        <v>69.966334051336503</v>
      </c>
    </row>
    <row r="422" spans="1:2">
      <c r="A422">
        <f t="shared" si="23"/>
        <v>169</v>
      </c>
      <c r="B422">
        <f t="shared" si="24"/>
        <v>71.447267963280268</v>
      </c>
    </row>
    <row r="423" spans="1:2">
      <c r="A423">
        <f t="shared" si="23"/>
        <v>169.5</v>
      </c>
      <c r="B423">
        <f t="shared" si="24"/>
        <v>72.896862742141124</v>
      </c>
    </row>
    <row r="424" spans="1:2">
      <c r="A424">
        <f t="shared" si="23"/>
        <v>170</v>
      </c>
      <c r="B424">
        <f t="shared" si="24"/>
        <v>74.314482547739374</v>
      </c>
    </row>
    <row r="425" spans="1:2">
      <c r="A425">
        <f t="shared" si="23"/>
        <v>170.5</v>
      </c>
      <c r="B425">
        <f t="shared" si="24"/>
        <v>75.699505565175613</v>
      </c>
    </row>
    <row r="426" spans="1:2">
      <c r="A426">
        <f t="shared" si="23"/>
        <v>171</v>
      </c>
      <c r="B426">
        <f t="shared" si="24"/>
        <v>77.051324277578871</v>
      </c>
    </row>
    <row r="427" spans="1:2">
      <c r="A427">
        <f t="shared" si="23"/>
        <v>171.5</v>
      </c>
      <c r="B427">
        <f t="shared" si="24"/>
        <v>78.369345732583909</v>
      </c>
    </row>
    <row r="428" spans="1:2">
      <c r="A428">
        <f t="shared" si="23"/>
        <v>172</v>
      </c>
      <c r="B428">
        <f t="shared" si="24"/>
        <v>79.652991802419578</v>
      </c>
    </row>
    <row r="429" spans="1:2">
      <c r="A429">
        <f t="shared" si="23"/>
        <v>172.5</v>
      </c>
      <c r="B429">
        <f t="shared" si="24"/>
        <v>80.901699437494685</v>
      </c>
    </row>
    <row r="430" spans="1:2">
      <c r="A430">
        <f t="shared" si="23"/>
        <v>173</v>
      </c>
      <c r="B430">
        <f t="shared" si="24"/>
        <v>82.114920913370355</v>
      </c>
    </row>
    <row r="431" spans="1:2">
      <c r="A431">
        <f t="shared" si="23"/>
        <v>173.5</v>
      </c>
      <c r="B431">
        <f t="shared" si="24"/>
        <v>83.292124071009894</v>
      </c>
    </row>
    <row r="432" spans="1:2">
      <c r="A432">
        <f t="shared" si="23"/>
        <v>174</v>
      </c>
      <c r="B432">
        <f t="shared" si="24"/>
        <v>84.432792550201469</v>
      </c>
    </row>
    <row r="433" spans="1:2">
      <c r="A433">
        <f t="shared" si="23"/>
        <v>174.5</v>
      </c>
      <c r="B433">
        <f t="shared" si="24"/>
        <v>85.536426016050598</v>
      </c>
    </row>
    <row r="434" spans="1:2">
      <c r="A434">
        <f t="shared" si="23"/>
        <v>175</v>
      </c>
      <c r="B434">
        <f t="shared" si="24"/>
        <v>86.602540378443834</v>
      </c>
    </row>
    <row r="435" spans="1:2">
      <c r="A435">
        <f t="shared" si="23"/>
        <v>175.5</v>
      </c>
      <c r="B435">
        <f t="shared" si="24"/>
        <v>87.630668004386308</v>
      </c>
    </row>
    <row r="436" spans="1:2">
      <c r="A436">
        <f t="shared" si="23"/>
        <v>176</v>
      </c>
      <c r="B436">
        <f t="shared" si="24"/>
        <v>88.620357923121446</v>
      </c>
    </row>
    <row r="437" spans="1:2">
      <c r="A437">
        <f t="shared" si="23"/>
        <v>176.5</v>
      </c>
      <c r="B437">
        <f t="shared" si="24"/>
        <v>89.571176023941248</v>
      </c>
    </row>
    <row r="438" spans="1:2">
      <c r="A438">
        <f t="shared" si="23"/>
        <v>177</v>
      </c>
      <c r="B438">
        <f t="shared" si="24"/>
        <v>90.482705246601938</v>
      </c>
    </row>
    <row r="439" spans="1:2">
      <c r="A439">
        <f t="shared" si="23"/>
        <v>177.5</v>
      </c>
      <c r="B439">
        <f t="shared" si="24"/>
        <v>91.354545764260052</v>
      </c>
    </row>
    <row r="440" spans="1:2">
      <c r="A440">
        <f t="shared" si="23"/>
        <v>178</v>
      </c>
      <c r="B440">
        <f t="shared" si="24"/>
        <v>92.186315158850007</v>
      </c>
    </row>
    <row r="441" spans="1:2">
      <c r="A441">
        <f t="shared" si="23"/>
        <v>178.5</v>
      </c>
      <c r="B441">
        <f t="shared" si="24"/>
        <v>92.977648588825119</v>
      </c>
    </row>
    <row r="442" spans="1:2">
      <c r="A442">
        <f t="shared" si="23"/>
        <v>179</v>
      </c>
      <c r="B442">
        <f t="shared" si="24"/>
        <v>93.728198949189107</v>
      </c>
    </row>
    <row r="443" spans="1:2">
      <c r="A443">
        <f t="shared" si="23"/>
        <v>179.5</v>
      </c>
      <c r="B443">
        <f t="shared" si="24"/>
        <v>94.437637023748081</v>
      </c>
    </row>
    <row r="444" spans="1:2">
      <c r="A444">
        <f t="shared" si="23"/>
        <v>180</v>
      </c>
      <c r="B444">
        <f t="shared" si="24"/>
        <v>95.105651629515322</v>
      </c>
    </row>
    <row r="445" spans="1:2">
      <c r="A445">
        <f t="shared" si="23"/>
        <v>180.5</v>
      </c>
      <c r="B445">
        <f t="shared" si="24"/>
        <v>95.731949753206706</v>
      </c>
    </row>
    <row r="446" spans="1:2">
      <c r="A446">
        <f t="shared" si="23"/>
        <v>181</v>
      </c>
      <c r="B446">
        <f t="shared" si="24"/>
        <v>96.316256679765786</v>
      </c>
    </row>
    <row r="447" spans="1:2">
      <c r="A447">
        <f t="shared" si="23"/>
        <v>181.5</v>
      </c>
      <c r="B447">
        <f t="shared" si="24"/>
        <v>96.858316112863093</v>
      </c>
    </row>
    <row r="448" spans="1:2">
      <c r="A448">
        <f t="shared" si="23"/>
        <v>182</v>
      </c>
      <c r="B448">
        <f t="shared" si="24"/>
        <v>97.35789028731601</v>
      </c>
    </row>
    <row r="449" spans="1:2">
      <c r="A449">
        <f t="shared" si="23"/>
        <v>182.5</v>
      </c>
      <c r="B449">
        <f t="shared" si="24"/>
        <v>97.81476007338054</v>
      </c>
    </row>
    <row r="450" spans="1:2">
      <c r="A450">
        <f t="shared" si="23"/>
        <v>183</v>
      </c>
      <c r="B450">
        <f t="shared" si="24"/>
        <v>98.228725072868855</v>
      </c>
    </row>
    <row r="451" spans="1:2">
      <c r="A451">
        <f t="shared" si="23"/>
        <v>183.5</v>
      </c>
      <c r="B451">
        <f t="shared" si="24"/>
        <v>98.599603707050491</v>
      </c>
    </row>
    <row r="452" spans="1:2">
      <c r="A452">
        <f t="shared" si="23"/>
        <v>184</v>
      </c>
      <c r="B452">
        <f t="shared" si="24"/>
        <v>98.927233296298823</v>
      </c>
    </row>
    <row r="453" spans="1:2">
      <c r="A453">
        <f t="shared" si="23"/>
        <v>184.5</v>
      </c>
      <c r="B453">
        <f t="shared" si="24"/>
        <v>99.211470131447783</v>
      </c>
    </row>
    <row r="454" spans="1:2">
      <c r="A454">
        <f t="shared" ref="A454:A484" si="25">A453+0.5</f>
        <v>185</v>
      </c>
      <c r="B454">
        <f t="shared" si="24"/>
        <v>99.452189536827333</v>
      </c>
    </row>
    <row r="455" spans="1:2">
      <c r="A455">
        <f t="shared" si="25"/>
        <v>185.5</v>
      </c>
      <c r="B455">
        <f t="shared" si="24"/>
        <v>99.649285924950419</v>
      </c>
    </row>
    <row r="456" spans="1:2">
      <c r="A456">
        <f t="shared" si="25"/>
        <v>186</v>
      </c>
      <c r="B456">
        <f t="shared" si="24"/>
        <v>99.80267284282715</v>
      </c>
    </row>
    <row r="457" spans="1:2">
      <c r="A457">
        <f t="shared" si="25"/>
        <v>186.5</v>
      </c>
      <c r="B457">
        <f t="shared" si="24"/>
        <v>99.912283009885826</v>
      </c>
    </row>
    <row r="458" spans="1:2">
      <c r="A458">
        <f t="shared" si="25"/>
        <v>187</v>
      </c>
      <c r="B458">
        <f t="shared" si="24"/>
        <v>99.978068347484552</v>
      </c>
    </row>
    <row r="459" spans="1:2">
      <c r="A459">
        <f t="shared" si="25"/>
        <v>187.5</v>
      </c>
      <c r="B459">
        <f t="shared" si="24"/>
        <v>100</v>
      </c>
    </row>
    <row r="460" spans="1:2">
      <c r="A460">
        <f t="shared" si="25"/>
        <v>188</v>
      </c>
      <c r="B460">
        <f t="shared" si="24"/>
        <v>99.978068347484552</v>
      </c>
    </row>
    <row r="461" spans="1:2">
      <c r="A461">
        <f t="shared" si="25"/>
        <v>188.5</v>
      </c>
      <c r="B461">
        <f t="shared" si="24"/>
        <v>99.91228300988584</v>
      </c>
    </row>
    <row r="462" spans="1:2">
      <c r="A462">
        <f t="shared" si="25"/>
        <v>189</v>
      </c>
      <c r="B462">
        <f t="shared" si="24"/>
        <v>99.80267284282715</v>
      </c>
    </row>
    <row r="463" spans="1:2">
      <c r="A463">
        <f t="shared" si="25"/>
        <v>189.5</v>
      </c>
      <c r="B463">
        <f t="shared" si="24"/>
        <v>99.649285924950448</v>
      </c>
    </row>
    <row r="464" spans="1:2">
      <c r="A464">
        <f t="shared" si="25"/>
        <v>190</v>
      </c>
      <c r="B464">
        <f t="shared" si="24"/>
        <v>99.452189536827333</v>
      </c>
    </row>
    <row r="465" spans="1:2">
      <c r="A465">
        <f t="shared" si="25"/>
        <v>190.5</v>
      </c>
      <c r="B465">
        <f t="shared" si="24"/>
        <v>99.211470131447797</v>
      </c>
    </row>
    <row r="466" spans="1:2">
      <c r="A466">
        <f t="shared" si="25"/>
        <v>191</v>
      </c>
      <c r="B466">
        <f t="shared" si="24"/>
        <v>98.927233296298851</v>
      </c>
    </row>
    <row r="467" spans="1:2">
      <c r="A467">
        <f t="shared" si="25"/>
        <v>191.5</v>
      </c>
      <c r="B467">
        <f t="shared" si="24"/>
        <v>98.599603707050505</v>
      </c>
    </row>
    <row r="468" spans="1:2">
      <c r="A468">
        <f t="shared" si="25"/>
        <v>192</v>
      </c>
      <c r="B468">
        <f t="shared" ref="B468:B484" si="26">Maxy*SIN(kapa*A468)</f>
        <v>98.228725072868897</v>
      </c>
    </row>
    <row r="469" spans="1:2">
      <c r="A469">
        <f t="shared" si="25"/>
        <v>192.5</v>
      </c>
      <c r="B469">
        <f t="shared" si="26"/>
        <v>97.814760073380583</v>
      </c>
    </row>
    <row r="470" spans="1:2">
      <c r="A470">
        <f t="shared" si="25"/>
        <v>193</v>
      </c>
      <c r="B470">
        <f t="shared" si="26"/>
        <v>97.357890287316039</v>
      </c>
    </row>
    <row r="471" spans="1:2">
      <c r="A471">
        <f t="shared" si="25"/>
        <v>193.5</v>
      </c>
      <c r="B471">
        <f t="shared" si="26"/>
        <v>96.85831611286315</v>
      </c>
    </row>
    <row r="472" spans="1:2">
      <c r="A472">
        <f t="shared" si="25"/>
        <v>194</v>
      </c>
      <c r="B472">
        <f t="shared" si="26"/>
        <v>96.316256679765857</v>
      </c>
    </row>
    <row r="473" spans="1:2">
      <c r="A473">
        <f t="shared" si="25"/>
        <v>194.5</v>
      </c>
      <c r="B473">
        <f t="shared" si="26"/>
        <v>95.731949753206749</v>
      </c>
    </row>
    <row r="474" spans="1:2">
      <c r="A474">
        <f t="shared" si="25"/>
        <v>195</v>
      </c>
      <c r="B474">
        <f t="shared" si="26"/>
        <v>95.105651629515364</v>
      </c>
    </row>
    <row r="475" spans="1:2">
      <c r="A475">
        <f t="shared" si="25"/>
        <v>195.5</v>
      </c>
      <c r="B475">
        <f t="shared" si="26"/>
        <v>94.437637023748152</v>
      </c>
    </row>
    <row r="476" spans="1:2">
      <c r="A476">
        <f t="shared" si="25"/>
        <v>196</v>
      </c>
      <c r="B476">
        <f t="shared" si="26"/>
        <v>93.728198949189192</v>
      </c>
    </row>
    <row r="477" spans="1:2">
      <c r="A477">
        <f t="shared" si="25"/>
        <v>196.5</v>
      </c>
      <c r="B477">
        <f t="shared" si="26"/>
        <v>92.977648588825161</v>
      </c>
    </row>
    <row r="478" spans="1:2">
      <c r="A478">
        <f t="shared" si="25"/>
        <v>197</v>
      </c>
      <c r="B478">
        <f t="shared" si="26"/>
        <v>92.186315158850064</v>
      </c>
    </row>
    <row r="479" spans="1:2">
      <c r="A479">
        <f t="shared" si="25"/>
        <v>197.5</v>
      </c>
      <c r="B479">
        <f t="shared" si="26"/>
        <v>91.354545764260152</v>
      </c>
    </row>
    <row r="480" spans="1:2">
      <c r="A480">
        <f t="shared" si="25"/>
        <v>198</v>
      </c>
      <c r="B480">
        <f t="shared" si="26"/>
        <v>90.482705246601995</v>
      </c>
    </row>
    <row r="481" spans="1:2">
      <c r="A481">
        <f t="shared" si="25"/>
        <v>198.5</v>
      </c>
      <c r="B481">
        <f t="shared" si="26"/>
        <v>89.571176023941319</v>
      </c>
    </row>
    <row r="482" spans="1:2">
      <c r="A482">
        <f t="shared" si="25"/>
        <v>199</v>
      </c>
      <c r="B482">
        <f t="shared" si="26"/>
        <v>88.620357923121475</v>
      </c>
    </row>
    <row r="483" spans="1:2">
      <c r="A483">
        <f t="shared" si="25"/>
        <v>199.5</v>
      </c>
      <c r="B483">
        <f t="shared" si="26"/>
        <v>87.630668004386422</v>
      </c>
    </row>
    <row r="484" spans="1:2">
      <c r="A484">
        <f t="shared" si="25"/>
        <v>200</v>
      </c>
      <c r="B484">
        <f t="shared" si="26"/>
        <v>86.602540378443919</v>
      </c>
    </row>
  </sheetData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Equation.3" shapeId="1027" r:id="rId4">
          <objectPr defaultSize="0" autoPict="0" r:id="rId5">
            <anchor moveWithCells="1" sizeWithCells="1">
              <from>
                <xdr:col>14</xdr:col>
                <xdr:colOff>266700</xdr:colOff>
                <xdr:row>5</xdr:row>
                <xdr:rowOff>180975</xdr:rowOff>
              </from>
              <to>
                <xdr:col>17</xdr:col>
                <xdr:colOff>123825</xdr:colOff>
                <xdr:row>8</xdr:row>
                <xdr:rowOff>114300</xdr:rowOff>
              </to>
            </anchor>
          </objectPr>
        </oleObject>
      </mc:Choice>
      <mc:Fallback>
        <oleObject progId="Equation.3" shapeId="1027" r:id="rId4"/>
      </mc:Fallback>
    </mc:AlternateContent>
    <mc:AlternateContent xmlns:mc="http://schemas.openxmlformats.org/markup-compatibility/2006">
      <mc:Choice Requires="x14">
        <oleObject progId="Equation.3" shapeId="1029" r:id="rId6">
          <objectPr defaultSize="0" autoPict="0" r:id="rId7">
            <anchor moveWithCells="1" sizeWithCells="1">
              <from>
                <xdr:col>26</xdr:col>
                <xdr:colOff>552450</xdr:colOff>
                <xdr:row>2</xdr:row>
                <xdr:rowOff>123825</xdr:rowOff>
              </from>
              <to>
                <xdr:col>35</xdr:col>
                <xdr:colOff>238125</xdr:colOff>
                <xdr:row>6</xdr:row>
                <xdr:rowOff>0</xdr:rowOff>
              </to>
            </anchor>
          </objectPr>
        </oleObject>
      </mc:Choice>
      <mc:Fallback>
        <oleObject progId="Equation.3" shapeId="1029" r:id="rId6"/>
      </mc:Fallback>
    </mc:AlternateContent>
    <mc:AlternateContent xmlns:mc="http://schemas.openxmlformats.org/markup-compatibility/2006">
      <mc:Choice Requires="x14">
        <oleObject progId="Equation.3" shapeId="1030" r:id="rId8">
          <objectPr defaultSize="0" autoPict="0" r:id="rId7">
            <anchor moveWithCells="1" sizeWithCells="1">
              <from>
                <xdr:col>14</xdr:col>
                <xdr:colOff>438150</xdr:colOff>
                <xdr:row>2</xdr:row>
                <xdr:rowOff>28575</xdr:rowOff>
              </from>
              <to>
                <xdr:col>23</xdr:col>
                <xdr:colOff>123825</xdr:colOff>
                <xdr:row>5</xdr:row>
                <xdr:rowOff>95250</xdr:rowOff>
              </to>
            </anchor>
          </objectPr>
        </oleObject>
      </mc:Choice>
      <mc:Fallback>
        <oleObject progId="Equation.3" shapeId="1030" r:id="rId8"/>
      </mc:Fallback>
    </mc:AlternateContent>
  </oleObjects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9" name="Scroll Bar 2">
              <controlPr defaultSize="0" autoPict="0">
                <anchor moveWithCells="1">
                  <from>
                    <xdr:col>6</xdr:col>
                    <xdr:colOff>314325</xdr:colOff>
                    <xdr:row>0</xdr:row>
                    <xdr:rowOff>133350</xdr:rowOff>
                  </from>
                  <to>
                    <xdr:col>10</xdr:col>
                    <xdr:colOff>57150</xdr:colOff>
                    <xdr:row>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Φύλλο3"/>
  <dimension ref="A1:HI149"/>
  <sheetViews>
    <sheetView topLeftCell="H1" workbookViewId="0">
      <selection activeCell="K16" sqref="K16"/>
    </sheetView>
  </sheetViews>
  <sheetFormatPr defaultRowHeight="15"/>
  <cols>
    <col min="11" max="11" width="14.85546875" customWidth="1"/>
    <col min="18" max="19" width="10.28515625" bestFit="1" customWidth="1"/>
    <col min="22" max="22" width="10.28515625" bestFit="1" customWidth="1"/>
    <col min="27" max="27" width="20.85546875" customWidth="1"/>
    <col min="28" max="28" width="20.42578125" customWidth="1"/>
    <col min="41" max="41" width="11.85546875" customWidth="1"/>
    <col min="49" max="49" width="10.28515625" bestFit="1" customWidth="1"/>
    <col min="51" max="51" width="13.42578125" customWidth="1"/>
    <col min="55" max="55" width="10.28515625" bestFit="1" customWidth="1"/>
    <col min="60" max="60" width="16.28515625" customWidth="1"/>
    <col min="63" max="63" width="12.5703125" customWidth="1"/>
    <col min="65" max="65" width="10.28515625" bestFit="1" customWidth="1"/>
    <col min="68" max="68" width="10.28515625" bestFit="1" customWidth="1"/>
    <col min="71" max="71" width="10.28515625" bestFit="1" customWidth="1"/>
    <col min="83" max="83" width="10.28515625" bestFit="1" customWidth="1"/>
    <col min="88" max="88" width="13.140625" customWidth="1"/>
    <col min="102" max="102" width="12.42578125" customWidth="1"/>
    <col min="114" max="114" width="10.28515625" bestFit="1" customWidth="1"/>
    <col min="217" max="217" width="10.28515625" bestFit="1" customWidth="1"/>
  </cols>
  <sheetData>
    <row r="1" spans="1:217" ht="15.75" thickBot="1">
      <c r="J1" t="s">
        <v>147</v>
      </c>
      <c r="K1">
        <f>eplires</f>
        <v>1.0642521655765158</v>
      </c>
      <c r="L1" s="1" t="s">
        <v>142</v>
      </c>
      <c r="M1" s="1">
        <f>scurrent/polepsilon</f>
        <v>3.9660954998810753</v>
      </c>
      <c r="N1" t="s">
        <v>5</v>
      </c>
      <c r="O1">
        <f>xcurrent</f>
        <v>5.4947191822063663</v>
      </c>
      <c r="U1" t="s">
        <v>5</v>
      </c>
      <c r="V1">
        <v>1</v>
      </c>
      <c r="AT1">
        <v>30</v>
      </c>
      <c r="AY1" t="s">
        <v>11</v>
      </c>
      <c r="AZ1">
        <v>1</v>
      </c>
      <c r="BA1">
        <f t="shared" ref="BA1:BF1" si="0">1/2*(AZ1+AZ2)</f>
        <v>0.61610349824007848</v>
      </c>
      <c r="BB1">
        <f t="shared" si="0"/>
        <v>0.54899105500440348</v>
      </c>
      <c r="BC1">
        <f t="shared" si="0"/>
        <v>0.54693226256090588</v>
      </c>
      <c r="BD1">
        <f t="shared" si="0"/>
        <v>0.54693032509916217</v>
      </c>
      <c r="BE1">
        <f t="shared" si="0"/>
        <v>0.54693032509744632</v>
      </c>
      <c r="BF1">
        <f t="shared" si="0"/>
        <v>0.54693032509744632</v>
      </c>
      <c r="BH1" t="s">
        <v>116</v>
      </c>
      <c r="BI1">
        <f>1/(2*BF1)*PI()</f>
        <v>2.8720227325391554</v>
      </c>
      <c r="BP1">
        <v>42</v>
      </c>
    </row>
    <row r="2" spans="1:217" ht="28.5" customHeight="1" thickTop="1" thickBot="1">
      <c r="A2" t="s">
        <v>8</v>
      </c>
      <c r="B2">
        <v>1.620025899124204</v>
      </c>
      <c r="K2" s="13" t="s">
        <v>151</v>
      </c>
      <c r="L2" t="s">
        <v>143</v>
      </c>
      <c r="M2">
        <f>INT(M1/eplires)</f>
        <v>3</v>
      </c>
      <c r="N2">
        <f>M2*eplires</f>
        <v>3.1927564967295474</v>
      </c>
      <c r="U2">
        <f>xcurrent</f>
        <v>5.4947191822063663</v>
      </c>
      <c r="V2">
        <f>U2-U4</f>
        <v>0.78233020182167667</v>
      </c>
      <c r="W2">
        <f>DEGREES(V2)</f>
        <v>44.824218749999979</v>
      </c>
      <c r="AD2" t="s">
        <v>148</v>
      </c>
      <c r="AE2">
        <f>PI()/8</f>
        <v>0.39269908169872414</v>
      </c>
      <c r="AS2" t="s">
        <v>161</v>
      </c>
      <c r="AT2">
        <f>PI()/4</f>
        <v>0.78539816339744828</v>
      </c>
      <c r="AY2" t="s">
        <v>12</v>
      </c>
      <c r="AZ2">
        <f>COS(arxikigon1)</f>
        <v>0.23220699648015705</v>
      </c>
      <c r="BA2">
        <f t="shared" ref="BA2:BF2" si="1">SQRT(AZ2*AZ1)</f>
        <v>0.48187861176872859</v>
      </c>
      <c r="BB2">
        <f t="shared" si="1"/>
        <v>0.54487347011740839</v>
      </c>
      <c r="BC2">
        <f t="shared" si="1"/>
        <v>0.54692838763741847</v>
      </c>
      <c r="BD2">
        <f t="shared" si="1"/>
        <v>0.54693032509573047</v>
      </c>
      <c r="BE2">
        <f t="shared" si="1"/>
        <v>0.54693032509744632</v>
      </c>
      <c r="BF2">
        <f t="shared" si="1"/>
        <v>0.54693032509744632</v>
      </c>
      <c r="BH2" t="s">
        <v>117</v>
      </c>
      <c r="BI2">
        <f>(1-0.5*BH5)*BI1</f>
        <v>1.0642521655765156</v>
      </c>
      <c r="BO2" t="s">
        <v>162</v>
      </c>
      <c r="BP2">
        <f>IF(SARX&gt;SDOKIMI1,AT2+DELTAX,AT2-DELTAX)</f>
        <v>1.1780972450961724</v>
      </c>
      <c r="BR2" t="s">
        <v>155</v>
      </c>
      <c r="BS2">
        <f>DELTAX/2</f>
        <v>0.19634954084936207</v>
      </c>
      <c r="CD2" t="s">
        <v>163</v>
      </c>
      <c r="CE2">
        <f>IF(SARX&gt;SDOKIMI2,BP2+DELTAX2,BP2-DELTAX2)</f>
        <v>0.98174770424681035</v>
      </c>
      <c r="CG2" t="s">
        <v>156</v>
      </c>
      <c r="CH2">
        <f>DELTAX2/2</f>
        <v>9.8174770424681035E-2</v>
      </c>
      <c r="CK2" s="14"/>
      <c r="CL2" s="15"/>
      <c r="CM2" s="15"/>
      <c r="CN2" s="15"/>
      <c r="CO2" s="15"/>
      <c r="CP2" s="15"/>
      <c r="CQ2" s="15"/>
      <c r="CR2" s="15" t="s">
        <v>164</v>
      </c>
      <c r="CS2" s="15">
        <f>IF(SARX&gt;SDOKIMI3,CE2+DELTAX3,CE2-DELTAX3)</f>
        <v>0.88357293382212931</v>
      </c>
      <c r="CT2" s="15"/>
      <c r="CU2" s="15" t="s">
        <v>157</v>
      </c>
      <c r="CV2" s="15">
        <f>DELTAX3/2</f>
        <v>4.9087385212340517E-2</v>
      </c>
      <c r="CW2" s="15"/>
      <c r="CX2" s="16"/>
      <c r="CY2" s="14"/>
      <c r="CZ2" s="15"/>
      <c r="DA2" s="15"/>
      <c r="DB2" s="15"/>
      <c r="DC2" s="15"/>
      <c r="DD2" s="15"/>
      <c r="DE2" s="15"/>
      <c r="DF2" s="15" t="s">
        <v>166</v>
      </c>
      <c r="DG2" s="15">
        <f>IF(SARX&gt;SDOKIMI3,CS2+DELTAX4,CS2-DELTAX4)</f>
        <v>0.83448554860978885</v>
      </c>
      <c r="DH2" s="15"/>
      <c r="DI2" s="15" t="s">
        <v>165</v>
      </c>
      <c r="DJ2" s="15">
        <f>DELTAX4/2</f>
        <v>2.4543692606170259E-2</v>
      </c>
      <c r="DK2" s="15"/>
      <c r="DL2" s="16"/>
      <c r="DM2" s="14"/>
      <c r="DN2" s="15"/>
      <c r="DO2" s="15"/>
      <c r="DP2" s="15"/>
      <c r="DQ2" s="15"/>
      <c r="DR2" s="15"/>
      <c r="DS2" s="15"/>
      <c r="DT2" s="15" t="s">
        <v>168</v>
      </c>
      <c r="DU2" s="15">
        <f>IF(SARX&gt;SDOKIMI3,DG2+DELTAX5,DG2-DELTAX5)</f>
        <v>0.80994185600361857</v>
      </c>
      <c r="DV2" s="15"/>
      <c r="DW2" s="15" t="s">
        <v>167</v>
      </c>
      <c r="DX2" s="15">
        <f>DELTAX5/2</f>
        <v>1.2271846303085129E-2</v>
      </c>
      <c r="DY2" s="15"/>
      <c r="DZ2" s="16"/>
      <c r="EA2" s="14"/>
      <c r="EB2" s="15"/>
      <c r="EC2" s="15"/>
      <c r="ED2" s="15"/>
      <c r="EE2" s="15"/>
      <c r="EF2" s="15"/>
      <c r="EG2" s="15"/>
      <c r="EH2" s="15" t="s">
        <v>173</v>
      </c>
      <c r="EI2" s="15">
        <f>IF(SARX&gt;SDOKIMI3,DU2+DELTAX6,DU2-DELTAX6)</f>
        <v>0.79767000970053348</v>
      </c>
      <c r="EJ2" s="15"/>
      <c r="EK2" s="15" t="s">
        <v>169</v>
      </c>
      <c r="EL2" s="15">
        <f>DELTAX6/2</f>
        <v>6.1359231515425647E-3</v>
      </c>
      <c r="EM2" s="15"/>
      <c r="EN2" s="16"/>
      <c r="EO2" s="14"/>
      <c r="EP2" s="15"/>
      <c r="EQ2" s="15"/>
      <c r="ER2" s="15"/>
      <c r="ES2" s="15"/>
      <c r="ET2" s="15"/>
      <c r="EU2" s="15"/>
      <c r="EV2" s="15" t="s">
        <v>174</v>
      </c>
      <c r="EW2" s="15">
        <f>IF(SARX&gt;SDOKIMI3,EI2+DELTAX7,EI2-DELTAX7)</f>
        <v>0.79153408654899093</v>
      </c>
      <c r="EX2" s="15"/>
      <c r="EY2" s="15" t="s">
        <v>170</v>
      </c>
      <c r="EZ2" s="15">
        <f>DELTAX7/2</f>
        <v>3.0679615757712823E-3</v>
      </c>
      <c r="FA2" s="15"/>
      <c r="FB2" s="16"/>
      <c r="FC2" s="14"/>
      <c r="FD2" s="15"/>
      <c r="FE2" s="15"/>
      <c r="FF2" s="15"/>
      <c r="FG2" s="15"/>
      <c r="FH2" s="15"/>
      <c r="FI2" s="15"/>
      <c r="FJ2" s="15" t="s">
        <v>175</v>
      </c>
      <c r="FK2" s="15">
        <f>IF(SARX&gt;SDOKIMI3,EW2+DELTAX8,EW2-DELTAX8)</f>
        <v>0.78846612497321966</v>
      </c>
      <c r="FL2" s="15"/>
      <c r="FM2" s="15" t="s">
        <v>171</v>
      </c>
      <c r="FN2" s="15">
        <f>DELTAX8/2</f>
        <v>1.5339807878856412E-3</v>
      </c>
      <c r="FO2" s="15"/>
      <c r="FP2" s="16"/>
      <c r="FQ2" s="14"/>
      <c r="FR2" s="15"/>
      <c r="FS2" s="15"/>
      <c r="FT2" s="15"/>
      <c r="FU2" s="15"/>
      <c r="FV2" s="15"/>
      <c r="FW2" s="15"/>
      <c r="FX2" s="15" t="s">
        <v>176</v>
      </c>
      <c r="FY2" s="15">
        <f>IF(SARX&gt;SDOKIMI3,FK2+DELTAX9,FK2-DELTAX9)</f>
        <v>0.78693214418533397</v>
      </c>
      <c r="FZ2" s="15"/>
      <c r="GA2" s="15" t="s">
        <v>172</v>
      </c>
      <c r="GB2" s="15">
        <f>DELTAX7/2</f>
        <v>3.0679615757712823E-3</v>
      </c>
      <c r="GC2" s="15"/>
      <c r="GD2" s="16"/>
      <c r="GE2" s="14"/>
      <c r="GF2" s="15"/>
      <c r="GG2" s="15"/>
      <c r="GH2" s="15"/>
      <c r="GI2" s="15"/>
      <c r="GJ2" s="15"/>
      <c r="GK2" s="15"/>
      <c r="GL2" s="15" t="s">
        <v>177</v>
      </c>
      <c r="GM2" s="15">
        <f>IF(SARX&gt;SDOKIMI3,FY2+DELTAX9,FY2-DELTAX9)</f>
        <v>0.78539816339744828</v>
      </c>
      <c r="GN2" s="15"/>
      <c r="GO2" s="15" t="s">
        <v>172</v>
      </c>
      <c r="GP2" s="15">
        <f>DELTAX7/2</f>
        <v>3.0679615757712823E-3</v>
      </c>
      <c r="GQ2" s="15"/>
      <c r="GR2" s="16"/>
      <c r="GS2" s="14"/>
      <c r="GT2" s="15"/>
      <c r="GU2" s="15"/>
      <c r="GV2" s="15"/>
      <c r="GW2" s="15"/>
      <c r="GX2" s="15"/>
      <c r="GY2" s="15"/>
      <c r="GZ2" s="15" t="s">
        <v>178</v>
      </c>
      <c r="HA2" s="15">
        <f>IF(SARX&gt;SDOKIMI3,GM2+DELTAX10,GM2-DELTAX10)</f>
        <v>0.78233020182167701</v>
      </c>
      <c r="HB2" s="15"/>
      <c r="HC2" s="15" t="s">
        <v>172</v>
      </c>
      <c r="HD2" s="15">
        <f>DELTAX7/2</f>
        <v>3.0679615757712823E-3</v>
      </c>
      <c r="HE2" s="15"/>
      <c r="HF2" s="16"/>
      <c r="HH2" s="29" t="s">
        <v>5</v>
      </c>
      <c r="HI2" s="30">
        <f>ARPLIRON*PI()/2+HA2</f>
        <v>5.4947191822063663</v>
      </c>
    </row>
    <row r="3" spans="1:217" ht="15.75" thickTop="1">
      <c r="A3" t="s">
        <v>9</v>
      </c>
      <c r="B3">
        <v>0.42261826174069944</v>
      </c>
      <c r="J3" t="s">
        <v>144</v>
      </c>
      <c r="K3">
        <f>kapaelliptic</f>
        <v>0.97266639233894803</v>
      </c>
      <c r="M3">
        <f>M1-N2</f>
        <v>0.77333900315152793</v>
      </c>
      <c r="O3">
        <f>M2*PI()/2+PI()/4</f>
        <v>5.497787143782138</v>
      </c>
      <c r="P3">
        <v>64</v>
      </c>
      <c r="Q3">
        <f>RADIANS(P3)</f>
        <v>1.1170107212763709</v>
      </c>
      <c r="U3">
        <f>INT(U2/PI()*2)</f>
        <v>3</v>
      </c>
      <c r="V3">
        <f>INT(V2/eplires)</f>
        <v>0</v>
      </c>
      <c r="AT3">
        <f>INT(AT2/eplires)</f>
        <v>0</v>
      </c>
      <c r="AY3" t="s">
        <v>111</v>
      </c>
      <c r="AZ3">
        <f>SIN(arxikigon1)</f>
        <v>0.97266639233894803</v>
      </c>
      <c r="BA3">
        <f t="shared" ref="BA3:BF3" si="2">1/2*(AZ1-AZ2)</f>
        <v>0.38389650175992146</v>
      </c>
      <c r="BB3">
        <f t="shared" si="2"/>
        <v>6.7112443235674946E-2</v>
      </c>
      <c r="BC3">
        <f t="shared" si="2"/>
        <v>2.058792443497548E-3</v>
      </c>
      <c r="BD3">
        <f t="shared" si="2"/>
        <v>1.9374617437062369E-6</v>
      </c>
      <c r="BE3">
        <f t="shared" si="2"/>
        <v>1.7158496845581794E-12</v>
      </c>
      <c r="BF3">
        <f t="shared" si="2"/>
        <v>0</v>
      </c>
      <c r="BP3">
        <f>INT(BP2/eplires)</f>
        <v>1</v>
      </c>
      <c r="CE3">
        <f>INT(CE2/eplires)</f>
        <v>0</v>
      </c>
      <c r="CK3" s="17"/>
      <c r="CL3" s="18"/>
      <c r="CM3" s="18"/>
      <c r="CN3" s="18"/>
      <c r="CO3" s="18"/>
      <c r="CP3" s="18"/>
      <c r="CQ3" s="18"/>
      <c r="CR3" s="18"/>
      <c r="CS3" s="18">
        <f>INT(CS2/eplires)</f>
        <v>0</v>
      </c>
      <c r="CT3" s="18"/>
      <c r="CU3" s="18"/>
      <c r="CV3" s="18"/>
      <c r="CW3" s="18"/>
      <c r="CX3" s="19"/>
      <c r="CY3" s="17"/>
      <c r="CZ3" s="18"/>
      <c r="DA3" s="18"/>
      <c r="DB3" s="18"/>
      <c r="DC3" s="18"/>
      <c r="DD3" s="18"/>
      <c r="DE3" s="18"/>
      <c r="DF3" s="18"/>
      <c r="DG3" s="18">
        <f>INT(DG2/eplires)</f>
        <v>0</v>
      </c>
      <c r="DH3" s="18"/>
      <c r="DI3" s="18"/>
      <c r="DJ3" s="18"/>
      <c r="DK3" s="18"/>
      <c r="DL3" s="19"/>
      <c r="DM3" s="17"/>
      <c r="DN3" s="18"/>
      <c r="DO3" s="18"/>
      <c r="DP3" s="18"/>
      <c r="DQ3" s="18"/>
      <c r="DR3" s="18"/>
      <c r="DS3" s="18"/>
      <c r="DT3" s="18"/>
      <c r="DU3" s="18">
        <f>INT(DU2/eplires)</f>
        <v>0</v>
      </c>
      <c r="DV3" s="18"/>
      <c r="DW3" s="18"/>
      <c r="DX3" s="18"/>
      <c r="DY3" s="18"/>
      <c r="DZ3" s="19"/>
      <c r="EA3" s="17"/>
      <c r="EB3" s="18"/>
      <c r="EC3" s="18"/>
      <c r="ED3" s="18"/>
      <c r="EE3" s="18"/>
      <c r="EF3" s="18"/>
      <c r="EG3" s="18"/>
      <c r="EH3" s="18"/>
      <c r="EI3" s="18">
        <f>INT(EI2/eplires)</f>
        <v>0</v>
      </c>
      <c r="EJ3" s="18"/>
      <c r="EK3" s="18"/>
      <c r="EL3" s="18"/>
      <c r="EM3" s="18"/>
      <c r="EN3" s="19"/>
      <c r="EO3" s="17"/>
      <c r="EP3" s="18"/>
      <c r="EQ3" s="18"/>
      <c r="ER3" s="18"/>
      <c r="ES3" s="18"/>
      <c r="ET3" s="18"/>
      <c r="EU3" s="18"/>
      <c r="EV3" s="18"/>
      <c r="EW3" s="18">
        <f>INT(EW2/eplires)</f>
        <v>0</v>
      </c>
      <c r="EX3" s="18"/>
      <c r="EY3" s="18"/>
      <c r="EZ3" s="18"/>
      <c r="FA3" s="18"/>
      <c r="FB3" s="19"/>
      <c r="FC3" s="17"/>
      <c r="FD3" s="18"/>
      <c r="FE3" s="18"/>
      <c r="FF3" s="18"/>
      <c r="FG3" s="18"/>
      <c r="FH3" s="18"/>
      <c r="FI3" s="18"/>
      <c r="FJ3" s="18"/>
      <c r="FK3" s="18">
        <f>INT(FK2/eplires)</f>
        <v>0</v>
      </c>
      <c r="FL3" s="18"/>
      <c r="FM3" s="18"/>
      <c r="FN3" s="18"/>
      <c r="FO3" s="18"/>
      <c r="FP3" s="19"/>
      <c r="FQ3" s="17"/>
      <c r="FR3" s="18"/>
      <c r="FS3" s="18"/>
      <c r="FT3" s="18"/>
      <c r="FU3" s="18"/>
      <c r="FV3" s="18"/>
      <c r="FW3" s="18"/>
      <c r="FX3" s="18"/>
      <c r="FY3" s="18">
        <f>INT(FY2/eplires)</f>
        <v>0</v>
      </c>
      <c r="FZ3" s="18"/>
      <c r="GA3" s="18"/>
      <c r="GB3" s="18"/>
      <c r="GC3" s="18"/>
      <c r="GD3" s="19"/>
      <c r="GE3" s="17"/>
      <c r="GF3" s="18"/>
      <c r="GG3" s="18"/>
      <c r="GH3" s="18"/>
      <c r="GI3" s="18"/>
      <c r="GJ3" s="18"/>
      <c r="GK3" s="18"/>
      <c r="GL3" s="18"/>
      <c r="GM3" s="18">
        <f>INT(GM2/eplires)</f>
        <v>0</v>
      </c>
      <c r="GN3" s="18"/>
      <c r="GO3" s="18"/>
      <c r="GP3" s="18"/>
      <c r="GQ3" s="18"/>
      <c r="GR3" s="19"/>
      <c r="GS3" s="17"/>
      <c r="GT3" s="18"/>
      <c r="GU3" s="18"/>
      <c r="GV3" s="18"/>
      <c r="GW3" s="18"/>
      <c r="GX3" s="18"/>
      <c r="GY3" s="18"/>
      <c r="GZ3" s="18"/>
      <c r="HA3" s="18">
        <f>INT(HA2/eplires)</f>
        <v>0</v>
      </c>
      <c r="HB3" s="18"/>
      <c r="HC3" s="18"/>
      <c r="HD3" s="18"/>
      <c r="HE3" s="18"/>
      <c r="HF3" s="19"/>
    </row>
    <row r="4" spans="1:217">
      <c r="A4" t="s">
        <v>10</v>
      </c>
      <c r="B4">
        <v>0.5773817382593005</v>
      </c>
      <c r="J4" t="s">
        <v>145</v>
      </c>
      <c r="K4">
        <f>ASIN(K3)</f>
        <v>1.33645023930656</v>
      </c>
      <c r="M4">
        <f>M2*PI()/2+PI()/4</f>
        <v>5.497787143782138</v>
      </c>
      <c r="U4">
        <f>U3*PI()/2</f>
        <v>4.7123889803846897</v>
      </c>
      <c r="AY4" t="s">
        <v>112</v>
      </c>
      <c r="AZ4">
        <f>AZ3^2</f>
        <v>0.94607991078566434</v>
      </c>
      <c r="BA4">
        <f t="shared" ref="BA4:BF4" si="3">BA3^2</f>
        <v>0.14737652406350538</v>
      </c>
      <c r="BB4">
        <f t="shared" si="3"/>
        <v>4.504080037061692E-3</v>
      </c>
      <c r="BC4">
        <f t="shared" si="3"/>
        <v>4.2386263254026041E-6</v>
      </c>
      <c r="BD4">
        <f t="shared" si="3"/>
        <v>3.7537580083252122E-12</v>
      </c>
      <c r="BE4">
        <f t="shared" si="3"/>
        <v>2.9441401399984039E-24</v>
      </c>
      <c r="BF4">
        <f t="shared" si="3"/>
        <v>0</v>
      </c>
      <c r="CK4" s="17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9"/>
      <c r="CY4" s="17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9"/>
      <c r="DM4" s="17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9"/>
      <c r="EA4" s="17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9"/>
      <c r="EO4" s="17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9"/>
      <c r="FC4" s="17"/>
      <c r="FD4" s="18"/>
      <c r="FE4" s="18"/>
      <c r="FF4" s="18"/>
      <c r="FG4" s="18"/>
      <c r="FH4" s="18"/>
      <c r="FI4" s="18"/>
      <c r="FJ4" s="18"/>
      <c r="FK4" s="18"/>
      <c r="FL4" s="18"/>
      <c r="FM4" s="18"/>
      <c r="FN4" s="18"/>
      <c r="FO4" s="18"/>
      <c r="FP4" s="19"/>
      <c r="FQ4" s="17"/>
      <c r="FR4" s="18"/>
      <c r="FS4" s="18"/>
      <c r="FT4" s="18"/>
      <c r="FU4" s="18"/>
      <c r="FV4" s="18"/>
      <c r="FW4" s="18"/>
      <c r="FX4" s="18"/>
      <c r="FY4" s="18"/>
      <c r="FZ4" s="18"/>
      <c r="GA4" s="18"/>
      <c r="GB4" s="18"/>
      <c r="GC4" s="18"/>
      <c r="GD4" s="19"/>
      <c r="GE4" s="17"/>
      <c r="GF4" s="18"/>
      <c r="GG4" s="18"/>
      <c r="GH4" s="18"/>
      <c r="GI4" s="18"/>
      <c r="GJ4" s="18"/>
      <c r="GK4" s="18"/>
      <c r="GL4" s="18"/>
      <c r="GM4" s="18"/>
      <c r="GN4" s="18"/>
      <c r="GO4" s="18"/>
      <c r="GP4" s="18"/>
      <c r="GQ4" s="18"/>
      <c r="GR4" s="19"/>
      <c r="GS4" s="17"/>
      <c r="GT4" s="18"/>
      <c r="GU4" s="18"/>
      <c r="GV4" s="18"/>
      <c r="GW4" s="18"/>
      <c r="GX4" s="18"/>
      <c r="GY4" s="18"/>
      <c r="GZ4" s="18"/>
      <c r="HA4" s="18"/>
      <c r="HB4" s="18"/>
      <c r="HC4" s="18"/>
      <c r="HD4" s="18"/>
      <c r="HE4" s="18"/>
      <c r="HF4" s="19"/>
    </row>
    <row r="5" spans="1:217">
      <c r="B5" t="s">
        <v>11</v>
      </c>
      <c r="C5" t="s">
        <v>12</v>
      </c>
      <c r="D5" t="s">
        <v>13</v>
      </c>
      <c r="E5" t="s">
        <v>14</v>
      </c>
      <c r="H5">
        <f>MAX(G6:G23)</f>
        <v>22.701305611363232</v>
      </c>
      <c r="J5" t="s">
        <v>146</v>
      </c>
      <c r="K5">
        <f>DEGREES(K4)</f>
        <v>76.572958241514769</v>
      </c>
      <c r="R5">
        <f>ATAN(W25)</f>
        <v>0.77154287662588383</v>
      </c>
      <c r="S5">
        <f>K4</f>
        <v>1.33645023930656</v>
      </c>
      <c r="AP5">
        <f>ATAN(AU25)</f>
        <v>0.77154287662588383</v>
      </c>
      <c r="AQ5">
        <f>1*AP5</f>
        <v>0.77154287662588383</v>
      </c>
      <c r="AY5" t="s">
        <v>114</v>
      </c>
      <c r="AZ5">
        <f>2^AZ6*AZ4</f>
        <v>0.94607991078566434</v>
      </c>
      <c r="BA5">
        <f t="shared" ref="BA5:BF5" si="4">2^BA6*BA4</f>
        <v>0.29475304812701075</v>
      </c>
      <c r="BB5">
        <f t="shared" si="4"/>
        <v>1.8016320148246768E-2</v>
      </c>
      <c r="BC5">
        <f t="shared" si="4"/>
        <v>3.3909010603220833E-5</v>
      </c>
      <c r="BD5">
        <f t="shared" si="4"/>
        <v>6.0060128133203395E-11</v>
      </c>
      <c r="BE5">
        <f t="shared" si="4"/>
        <v>9.4212484479948924E-23</v>
      </c>
      <c r="BF5">
        <f t="shared" si="4"/>
        <v>0</v>
      </c>
      <c r="BG5" t="s">
        <v>115</v>
      </c>
      <c r="BH5">
        <f>SUM(AZ5:BF5)</f>
        <v>1.2588831881315854</v>
      </c>
      <c r="BL5">
        <f>ATAN(BQ25)</f>
        <v>0.77154287662588383</v>
      </c>
      <c r="BM5">
        <f>2*BL5</f>
        <v>1.5430857532517677</v>
      </c>
      <c r="BW5">
        <f>SUM(BO5:BU5)</f>
        <v>0</v>
      </c>
      <c r="CA5">
        <f>ATAN(CF25)</f>
        <v>0.77154287662588383</v>
      </c>
      <c r="CB5">
        <f>2*CA5</f>
        <v>1.5430857532517677</v>
      </c>
      <c r="CK5" s="17">
        <f>SUM(CC5:CI5)</f>
        <v>0</v>
      </c>
      <c r="CL5" s="18"/>
      <c r="CM5" s="18"/>
      <c r="CN5" s="18"/>
      <c r="CO5" s="18">
        <f>ATAN(CT25)</f>
        <v>0.77154287662588383</v>
      </c>
      <c r="CP5" s="18">
        <f>2*CO5</f>
        <v>1.5430857532517677</v>
      </c>
      <c r="CQ5" s="18"/>
      <c r="CR5" s="18"/>
      <c r="CS5" s="18"/>
      <c r="CT5" s="18"/>
      <c r="CU5" s="18"/>
      <c r="CV5" s="18"/>
      <c r="CW5" s="18"/>
      <c r="CX5" s="19"/>
      <c r="CY5" s="17">
        <f>SUM(CQ5:CW5)</f>
        <v>0</v>
      </c>
      <c r="CZ5" s="18"/>
      <c r="DA5" s="18"/>
      <c r="DB5" s="18"/>
      <c r="DC5" s="18">
        <f>ATAN(DH25)</f>
        <v>0.77154287662588383</v>
      </c>
      <c r="DD5" s="18">
        <f>2*DC5</f>
        <v>1.5430857532517677</v>
      </c>
      <c r="DE5" s="18"/>
      <c r="DF5" s="18"/>
      <c r="DG5" s="18"/>
      <c r="DH5" s="18"/>
      <c r="DI5" s="18"/>
      <c r="DJ5" s="18"/>
      <c r="DK5" s="18"/>
      <c r="DL5" s="19"/>
      <c r="DM5" s="17">
        <f>SUM(DE5:DK5)</f>
        <v>0</v>
      </c>
      <c r="DN5" s="18"/>
      <c r="DO5" s="18"/>
      <c r="DP5" s="18"/>
      <c r="DQ5" s="18">
        <f>ATAN(DV25)</f>
        <v>0.77154287662588383</v>
      </c>
      <c r="DR5" s="18">
        <f>2*DQ5</f>
        <v>1.5430857532517677</v>
      </c>
      <c r="DS5" s="18"/>
      <c r="DT5" s="18"/>
      <c r="DU5" s="18"/>
      <c r="DV5" s="18"/>
      <c r="DW5" s="18"/>
      <c r="DX5" s="18"/>
      <c r="DY5" s="18"/>
      <c r="DZ5" s="19"/>
      <c r="EA5" s="17">
        <f>SUM(DS5:DY5)</f>
        <v>0</v>
      </c>
      <c r="EB5" s="18"/>
      <c r="EC5" s="18"/>
      <c r="ED5" s="18"/>
      <c r="EE5" s="18">
        <f>ATAN(EJ25)</f>
        <v>0.77154287662588383</v>
      </c>
      <c r="EF5" s="18">
        <f>2*EE5</f>
        <v>1.5430857532517677</v>
      </c>
      <c r="EG5" s="18"/>
      <c r="EH5" s="18"/>
      <c r="EI5" s="18"/>
      <c r="EJ5" s="18"/>
      <c r="EK5" s="18"/>
      <c r="EL5" s="18"/>
      <c r="EM5" s="18"/>
      <c r="EN5" s="19"/>
      <c r="EO5" s="17">
        <f>SUM(EG5:EM5)</f>
        <v>0</v>
      </c>
      <c r="EP5" s="18"/>
      <c r="EQ5" s="18"/>
      <c r="ER5" s="18"/>
      <c r="ES5" s="18">
        <f>ATAN(EX25)</f>
        <v>0.77154287662588383</v>
      </c>
      <c r="ET5" s="18">
        <f>2*ES5</f>
        <v>1.5430857532517677</v>
      </c>
      <c r="EU5" s="18"/>
      <c r="EV5" s="18"/>
      <c r="EW5" s="18"/>
      <c r="EX5" s="18"/>
      <c r="EY5" s="18"/>
      <c r="EZ5" s="18"/>
      <c r="FA5" s="18"/>
      <c r="FB5" s="19"/>
      <c r="FC5" s="17">
        <f>SUM(EU5:FA5)</f>
        <v>0</v>
      </c>
      <c r="FD5" s="18"/>
      <c r="FE5" s="18"/>
      <c r="FF5" s="18"/>
      <c r="FG5" s="18">
        <f>ATAN(FL25)</f>
        <v>0.77154287662588383</v>
      </c>
      <c r="FH5" s="18">
        <f>2*FG5</f>
        <v>1.5430857532517677</v>
      </c>
      <c r="FI5" s="18"/>
      <c r="FJ5" s="18"/>
      <c r="FK5" s="18"/>
      <c r="FL5" s="18"/>
      <c r="FM5" s="18"/>
      <c r="FN5" s="18"/>
      <c r="FO5" s="18"/>
      <c r="FP5" s="19"/>
      <c r="FQ5" s="17">
        <f>SUM(FI5:FO5)</f>
        <v>0</v>
      </c>
      <c r="FR5" s="18"/>
      <c r="FS5" s="18"/>
      <c r="FT5" s="18"/>
      <c r="FU5" s="18">
        <f>ATAN(FZ25)</f>
        <v>0.77154287662588383</v>
      </c>
      <c r="FV5" s="18">
        <f>2*FU5</f>
        <v>1.5430857532517677</v>
      </c>
      <c r="FW5" s="18"/>
      <c r="FX5" s="18"/>
      <c r="FY5" s="18"/>
      <c r="FZ5" s="18"/>
      <c r="GA5" s="18"/>
      <c r="GB5" s="18"/>
      <c r="GC5" s="18"/>
      <c r="GD5" s="19"/>
      <c r="GE5" s="17">
        <f>SUM(FW5:GC5)</f>
        <v>0</v>
      </c>
      <c r="GF5" s="18"/>
      <c r="GG5" s="18"/>
      <c r="GH5" s="18"/>
      <c r="GI5" s="18">
        <f>ATAN(GN25)</f>
        <v>0.77154287662588383</v>
      </c>
      <c r="GJ5" s="18">
        <f>2*GI5</f>
        <v>1.5430857532517677</v>
      </c>
      <c r="GK5" s="18"/>
      <c r="GL5" s="18"/>
      <c r="GM5" s="18"/>
      <c r="GN5" s="18"/>
      <c r="GO5" s="18"/>
      <c r="GP5" s="18"/>
      <c r="GQ5" s="18"/>
      <c r="GR5" s="19"/>
      <c r="GS5" s="17">
        <f>SUM(GK5:GQ5)</f>
        <v>0</v>
      </c>
      <c r="GT5" s="18"/>
      <c r="GU5" s="18"/>
      <c r="GV5" s="18"/>
      <c r="GW5" s="18">
        <f>ATAN(HB25)</f>
        <v>0.77154287662588383</v>
      </c>
      <c r="GX5" s="18">
        <f>2*GW5</f>
        <v>1.5430857532517677</v>
      </c>
      <c r="GY5" s="18"/>
      <c r="GZ5" s="18"/>
      <c r="HA5" s="18"/>
      <c r="HB5" s="18"/>
      <c r="HC5" s="18"/>
      <c r="HD5" s="18"/>
      <c r="HE5" s="18"/>
      <c r="HF5" s="19"/>
    </row>
    <row r="6" spans="1:217">
      <c r="A6">
        <v>0</v>
      </c>
      <c r="B6">
        <f>1</f>
        <v>1</v>
      </c>
      <c r="C6">
        <f>SQRT(MM)</f>
        <v>0.7598563931818304</v>
      </c>
      <c r="D6">
        <f>SQRT(M)</f>
        <v>0.65009096420477919</v>
      </c>
      <c r="E6">
        <f t="shared" ref="E6:E17" si="5">2^A6*B6*u</f>
        <v>1.620025899124204</v>
      </c>
      <c r="F6">
        <f t="shared" ref="F6:F9" si="6">IF(ABS(D6)&lt;0.0000000000000001,1,0)</f>
        <v>0</v>
      </c>
      <c r="H6">
        <f>IF(E6&lt;$H$5,1/2*(H7+ASIN(D7/B7*SIN(H7))),$H$5)</f>
        <v>1.4386719945823934</v>
      </c>
      <c r="I6">
        <f>SIN(H6)</f>
        <v>0.99128427058376367</v>
      </c>
      <c r="J6" s="2" t="s">
        <v>15</v>
      </c>
      <c r="AY6" t="s">
        <v>113</v>
      </c>
      <c r="AZ6">
        <v>0</v>
      </c>
      <c r="BA6">
        <f>AZ6+1</f>
        <v>1</v>
      </c>
      <c r="BB6">
        <f t="shared" ref="BB6:BF6" si="7">BA6+1</f>
        <v>2</v>
      </c>
      <c r="BC6">
        <f t="shared" si="7"/>
        <v>3</v>
      </c>
      <c r="BD6">
        <f t="shared" si="7"/>
        <v>4</v>
      </c>
      <c r="BE6">
        <f t="shared" si="7"/>
        <v>5</v>
      </c>
      <c r="BF6">
        <f t="shared" si="7"/>
        <v>6</v>
      </c>
      <c r="CK6" s="17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9"/>
      <c r="CY6" s="17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9"/>
      <c r="DM6" s="17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9"/>
      <c r="EA6" s="17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9"/>
      <c r="EO6" s="17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9"/>
      <c r="FC6" s="17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9"/>
      <c r="FQ6" s="17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9"/>
      <c r="GE6" s="17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9"/>
      <c r="GS6" s="17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8"/>
      <c r="HF6" s="19"/>
    </row>
    <row r="7" spans="1:217">
      <c r="A7">
        <f>A6+1</f>
        <v>1</v>
      </c>
      <c r="B7">
        <f>1/2*(B6+C6)</f>
        <v>0.87992819659091515</v>
      </c>
      <c r="C7">
        <f>SQRT(B6*C6)</f>
        <v>0.87169742065801159</v>
      </c>
      <c r="D7">
        <f>1/2*(B6-C6)</f>
        <v>0.1200718034090848</v>
      </c>
      <c r="E7">
        <f t="shared" si="5"/>
        <v>2.8510129356938734</v>
      </c>
      <c r="F7">
        <f t="shared" si="6"/>
        <v>0</v>
      </c>
      <c r="G7" t="str">
        <f>IF(AND(F7=0,F8=1),E7,"")</f>
        <v/>
      </c>
      <c r="H7">
        <f>IF(E7&lt;$H$5,1/2*(H8+ASIN(D8/B8*SIN(H8))),$H$5)</f>
        <v>2.8363200935129584</v>
      </c>
      <c r="I7">
        <f>SQRT(1-I6^2)</f>
        <v>0.13174025540136028</v>
      </c>
      <c r="R7">
        <f>DEGREES(R5)</f>
        <v>44.206150544045919</v>
      </c>
      <c r="AP7">
        <f>DEGREES(AP5)</f>
        <v>44.206150544045919</v>
      </c>
      <c r="AV7" t="s">
        <v>109</v>
      </c>
      <c r="AW7">
        <v>2</v>
      </c>
      <c r="AZ7" t="s">
        <v>71</v>
      </c>
      <c r="BB7" t="s">
        <v>105</v>
      </c>
      <c r="BC7">
        <f>INT(AW7/PI())</f>
        <v>0</v>
      </c>
      <c r="BE7" t="s">
        <v>102</v>
      </c>
      <c r="BL7">
        <f>DEGREES(BL5)</f>
        <v>44.206150544045919</v>
      </c>
      <c r="CA7">
        <f>DEGREES(CA5)</f>
        <v>44.206150544045919</v>
      </c>
      <c r="CK7" s="17"/>
      <c r="CL7" s="18"/>
      <c r="CM7" s="18"/>
      <c r="CN7" s="18"/>
      <c r="CO7" s="18">
        <f>DEGREES(CO5)</f>
        <v>44.206150544045919</v>
      </c>
      <c r="CP7" s="18"/>
      <c r="CQ7" s="18"/>
      <c r="CR7" s="18"/>
      <c r="CS7" s="18"/>
      <c r="CT7" s="18"/>
      <c r="CU7" s="18"/>
      <c r="CV7" s="18"/>
      <c r="CW7" s="18"/>
      <c r="CX7" s="19"/>
      <c r="CY7" s="17"/>
      <c r="CZ7" s="18"/>
      <c r="DA7" s="18"/>
      <c r="DB7" s="18"/>
      <c r="DC7" s="18">
        <f>DEGREES(DC5)</f>
        <v>44.206150544045919</v>
      </c>
      <c r="DD7" s="18"/>
      <c r="DE7" s="18"/>
      <c r="DF7" s="18"/>
      <c r="DG7" s="18"/>
      <c r="DH7" s="18"/>
      <c r="DI7" s="18"/>
      <c r="DJ7" s="18"/>
      <c r="DK7" s="18"/>
      <c r="DL7" s="19"/>
      <c r="DM7" s="17"/>
      <c r="DN7" s="18"/>
      <c r="DO7" s="18"/>
      <c r="DP7" s="18"/>
      <c r="DQ7" s="18">
        <f>DEGREES(DQ5)</f>
        <v>44.206150544045919</v>
      </c>
      <c r="DR7" s="18"/>
      <c r="DS7" s="18"/>
      <c r="DT7" s="18"/>
      <c r="DU7" s="18"/>
      <c r="DV7" s="18"/>
      <c r="DW7" s="18"/>
      <c r="DX7" s="18"/>
      <c r="DY7" s="18"/>
      <c r="DZ7" s="19"/>
      <c r="EA7" s="17"/>
      <c r="EB7" s="18"/>
      <c r="EC7" s="18"/>
      <c r="ED7" s="18"/>
      <c r="EE7" s="18">
        <f>DEGREES(EE5)</f>
        <v>44.206150544045919</v>
      </c>
      <c r="EF7" s="18"/>
      <c r="EG7" s="18"/>
      <c r="EH7" s="18"/>
      <c r="EI7" s="18"/>
      <c r="EJ7" s="18"/>
      <c r="EK7" s="18"/>
      <c r="EL7" s="18"/>
      <c r="EM7" s="18"/>
      <c r="EN7" s="19"/>
      <c r="EO7" s="17"/>
      <c r="EP7" s="18"/>
      <c r="EQ7" s="18"/>
      <c r="ER7" s="18"/>
      <c r="ES7" s="18">
        <f>DEGREES(ES5)</f>
        <v>44.206150544045919</v>
      </c>
      <c r="ET7" s="18"/>
      <c r="EU7" s="18"/>
      <c r="EV7" s="18"/>
      <c r="EW7" s="18"/>
      <c r="EX7" s="18"/>
      <c r="EY7" s="18"/>
      <c r="EZ7" s="18"/>
      <c r="FA7" s="18"/>
      <c r="FB7" s="19"/>
      <c r="FC7" s="17"/>
      <c r="FD7" s="18"/>
      <c r="FE7" s="18"/>
      <c r="FF7" s="18"/>
      <c r="FG7" s="18">
        <f>DEGREES(FG5)</f>
        <v>44.206150544045919</v>
      </c>
      <c r="FH7" s="18"/>
      <c r="FI7" s="18"/>
      <c r="FJ7" s="18"/>
      <c r="FK7" s="18"/>
      <c r="FL7" s="18"/>
      <c r="FM7" s="18"/>
      <c r="FN7" s="18"/>
      <c r="FO7" s="18"/>
      <c r="FP7" s="19"/>
      <c r="FQ7" s="17"/>
      <c r="FR7" s="18"/>
      <c r="FS7" s="18"/>
      <c r="FT7" s="18"/>
      <c r="FU7" s="18">
        <f>DEGREES(FU5)</f>
        <v>44.206150544045919</v>
      </c>
      <c r="FV7" s="18"/>
      <c r="FW7" s="18"/>
      <c r="FX7" s="18"/>
      <c r="FY7" s="18"/>
      <c r="FZ7" s="18"/>
      <c r="GA7" s="18"/>
      <c r="GB7" s="18"/>
      <c r="GC7" s="18"/>
      <c r="GD7" s="19"/>
      <c r="GE7" s="17"/>
      <c r="GF7" s="18"/>
      <c r="GG7" s="18"/>
      <c r="GH7" s="18"/>
      <c r="GI7" s="18">
        <f>DEGREES(GI5)</f>
        <v>44.206150544045919</v>
      </c>
      <c r="GJ7" s="18"/>
      <c r="GK7" s="18"/>
      <c r="GL7" s="18"/>
      <c r="GM7" s="18"/>
      <c r="GN7" s="18"/>
      <c r="GO7" s="18"/>
      <c r="GP7" s="18"/>
      <c r="GQ7" s="18"/>
      <c r="GR7" s="19"/>
      <c r="GS7" s="17"/>
      <c r="GT7" s="18"/>
      <c r="GU7" s="18"/>
      <c r="GV7" s="18"/>
      <c r="GW7" s="18">
        <f>DEGREES(GW5)</f>
        <v>44.206150544045919</v>
      </c>
      <c r="GX7" s="18"/>
      <c r="GY7" s="18"/>
      <c r="GZ7" s="18"/>
      <c r="HA7" s="18"/>
      <c r="HB7" s="18"/>
      <c r="HC7" s="18"/>
      <c r="HD7" s="18"/>
      <c r="HE7" s="18"/>
      <c r="HF7" s="19"/>
    </row>
    <row r="8" spans="1:217" ht="26.25">
      <c r="A8">
        <f t="shared" ref="A8:A28" si="8">A7+1</f>
        <v>2</v>
      </c>
      <c r="B8">
        <f t="shared" ref="B8:B18" si="9">1/2*(B7+C7)</f>
        <v>0.87581280862446342</v>
      </c>
      <c r="C8">
        <f t="shared" ref="C8:C18" si="10">SQRT(B7*C7)</f>
        <v>0.87580313959962286</v>
      </c>
      <c r="D8">
        <f t="shared" ref="D8:D18" si="11">1/2*(B7-C7)</f>
        <v>4.1153879664517778E-3</v>
      </c>
      <c r="E8">
        <f t="shared" si="5"/>
        <v>5.6753577310253629</v>
      </c>
      <c r="F8">
        <f t="shared" si="6"/>
        <v>0</v>
      </c>
      <c r="G8" t="str">
        <f t="shared" ref="G8:G18" si="12">IF(AND(F8=0,F9=1),E8,"")</f>
        <v/>
      </c>
      <c r="H8">
        <f t="shared" ref="H8:H18" si="13">IF(E8&lt;$H$5,1/2*(H9+ASIN(D9/B9*SIN(H9))),$H$5)</f>
        <v>5.6753238149825407</v>
      </c>
      <c r="Q8" t="s">
        <v>25</v>
      </c>
      <c r="R8">
        <f>S5</f>
        <v>1.33645023930656</v>
      </c>
      <c r="S8">
        <f>arxikigon</f>
        <v>1.33645023930656</v>
      </c>
      <c r="U8">
        <f>DEGREES(S8)</f>
        <v>76.572958241514769</v>
      </c>
      <c r="Y8" t="s">
        <v>16</v>
      </c>
      <c r="Z8" t="s">
        <v>17</v>
      </c>
      <c r="AA8" s="7" t="s">
        <v>29</v>
      </c>
      <c r="AO8" t="s">
        <v>69</v>
      </c>
      <c r="AP8">
        <f>arxikigon</f>
        <v>1.33645023930656</v>
      </c>
      <c r="AQ8">
        <f>arxikigon</f>
        <v>1.33645023930656</v>
      </c>
      <c r="AS8">
        <f>DEGREES(AQ8)</f>
        <v>76.572958241514769</v>
      </c>
      <c r="AW8" t="s">
        <v>16</v>
      </c>
      <c r="AX8" t="s">
        <v>17</v>
      </c>
      <c r="AY8" s="7" t="s">
        <v>29</v>
      </c>
      <c r="AZ8" t="s">
        <v>72</v>
      </c>
      <c r="BB8" t="s">
        <v>106</v>
      </c>
      <c r="BC8">
        <f>INT(AW7*2/PI())</f>
        <v>1</v>
      </c>
      <c r="BK8" t="s">
        <v>70</v>
      </c>
      <c r="BL8">
        <f>arxikigon</f>
        <v>1.33645023930656</v>
      </c>
      <c r="BM8">
        <f>arxikigon</f>
        <v>1.33645023930656</v>
      </c>
      <c r="BO8">
        <f>DEGREES(BM8)</f>
        <v>76.572958241514769</v>
      </c>
      <c r="BS8" t="s">
        <v>16</v>
      </c>
      <c r="BT8" t="s">
        <v>17</v>
      </c>
      <c r="BU8" s="7" t="s">
        <v>29</v>
      </c>
      <c r="BZ8" t="s">
        <v>70</v>
      </c>
      <c r="CA8">
        <f>arxikigon</f>
        <v>1.33645023930656</v>
      </c>
      <c r="CB8">
        <f>arxikigon</f>
        <v>1.33645023930656</v>
      </c>
      <c r="CD8">
        <f>DEGREES(CB8)</f>
        <v>76.572958241514769</v>
      </c>
      <c r="CH8" t="s">
        <v>16</v>
      </c>
      <c r="CI8" t="s">
        <v>17</v>
      </c>
      <c r="CJ8" s="7" t="s">
        <v>29</v>
      </c>
      <c r="CK8" s="17"/>
      <c r="CL8" s="18"/>
      <c r="CM8" s="18"/>
      <c r="CN8" s="18" t="s">
        <v>70</v>
      </c>
      <c r="CO8" s="18">
        <f>arxikigon</f>
        <v>1.33645023930656</v>
      </c>
      <c r="CP8" s="18">
        <f>arxikigon</f>
        <v>1.33645023930656</v>
      </c>
      <c r="CQ8" s="18"/>
      <c r="CR8" s="18">
        <f>DEGREES(CP8)</f>
        <v>76.572958241514769</v>
      </c>
      <c r="CS8" s="18"/>
      <c r="CT8" s="18"/>
      <c r="CU8" s="18"/>
      <c r="CV8" s="18" t="s">
        <v>16</v>
      </c>
      <c r="CW8" s="18" t="s">
        <v>17</v>
      </c>
      <c r="CX8" s="20" t="s">
        <v>29</v>
      </c>
      <c r="CY8" s="17"/>
      <c r="CZ8" s="18"/>
      <c r="DA8" s="18"/>
      <c r="DB8" s="18" t="s">
        <v>70</v>
      </c>
      <c r="DC8" s="18">
        <f>arxikigon</f>
        <v>1.33645023930656</v>
      </c>
      <c r="DD8" s="18">
        <f>arxikigon</f>
        <v>1.33645023930656</v>
      </c>
      <c r="DE8" s="18"/>
      <c r="DF8" s="18">
        <f>DEGREES(DD8)</f>
        <v>76.572958241514769</v>
      </c>
      <c r="DG8" s="18"/>
      <c r="DH8" s="18"/>
      <c r="DI8" s="18"/>
      <c r="DJ8" s="18" t="s">
        <v>16</v>
      </c>
      <c r="DK8" s="18" t="s">
        <v>17</v>
      </c>
      <c r="DL8" s="20" t="s">
        <v>29</v>
      </c>
      <c r="DM8" s="17"/>
      <c r="DN8" s="18"/>
      <c r="DO8" s="18"/>
      <c r="DP8" s="18" t="s">
        <v>70</v>
      </c>
      <c r="DQ8" s="18">
        <f>arxikigon</f>
        <v>1.33645023930656</v>
      </c>
      <c r="DR8" s="18">
        <f>arxikigon</f>
        <v>1.33645023930656</v>
      </c>
      <c r="DS8" s="18"/>
      <c r="DT8" s="18">
        <f>DEGREES(DR8)</f>
        <v>76.572958241514769</v>
      </c>
      <c r="DU8" s="18"/>
      <c r="DV8" s="18"/>
      <c r="DW8" s="18"/>
      <c r="DX8" s="18" t="s">
        <v>16</v>
      </c>
      <c r="DY8" s="18" t="s">
        <v>17</v>
      </c>
      <c r="DZ8" s="20" t="s">
        <v>29</v>
      </c>
      <c r="EA8" s="17"/>
      <c r="EB8" s="18"/>
      <c r="EC8" s="18"/>
      <c r="ED8" s="18" t="s">
        <v>70</v>
      </c>
      <c r="EE8" s="18">
        <f>arxikigon</f>
        <v>1.33645023930656</v>
      </c>
      <c r="EF8" s="18">
        <f>arxikigon</f>
        <v>1.33645023930656</v>
      </c>
      <c r="EG8" s="18"/>
      <c r="EH8" s="18">
        <f>DEGREES(EF8)</f>
        <v>76.572958241514769</v>
      </c>
      <c r="EI8" s="18"/>
      <c r="EJ8" s="18"/>
      <c r="EK8" s="18"/>
      <c r="EL8" s="18" t="s">
        <v>16</v>
      </c>
      <c r="EM8" s="18" t="s">
        <v>17</v>
      </c>
      <c r="EN8" s="20" t="s">
        <v>29</v>
      </c>
      <c r="EO8" s="17"/>
      <c r="EP8" s="18"/>
      <c r="EQ8" s="18"/>
      <c r="ER8" s="18" t="s">
        <v>70</v>
      </c>
      <c r="ES8" s="18">
        <f>arxikigon</f>
        <v>1.33645023930656</v>
      </c>
      <c r="ET8" s="18">
        <f>arxikigon</f>
        <v>1.33645023930656</v>
      </c>
      <c r="EU8" s="18"/>
      <c r="EV8" s="18">
        <f>DEGREES(ET8)</f>
        <v>76.572958241514769</v>
      </c>
      <c r="EW8" s="18"/>
      <c r="EX8" s="18"/>
      <c r="EY8" s="18"/>
      <c r="EZ8" s="18" t="s">
        <v>16</v>
      </c>
      <c r="FA8" s="18" t="s">
        <v>17</v>
      </c>
      <c r="FB8" s="20" t="s">
        <v>29</v>
      </c>
      <c r="FC8" s="17"/>
      <c r="FD8" s="18"/>
      <c r="FE8" s="18"/>
      <c r="FF8" s="18" t="s">
        <v>70</v>
      </c>
      <c r="FG8" s="18">
        <f>arxikigon</f>
        <v>1.33645023930656</v>
      </c>
      <c r="FH8" s="18">
        <f>arxikigon</f>
        <v>1.33645023930656</v>
      </c>
      <c r="FI8" s="18"/>
      <c r="FJ8" s="18">
        <f>DEGREES(FH8)</f>
        <v>76.572958241514769</v>
      </c>
      <c r="FK8" s="18"/>
      <c r="FL8" s="18"/>
      <c r="FM8" s="18"/>
      <c r="FN8" s="18" t="s">
        <v>16</v>
      </c>
      <c r="FO8" s="18" t="s">
        <v>17</v>
      </c>
      <c r="FP8" s="20" t="s">
        <v>29</v>
      </c>
      <c r="FQ8" s="17"/>
      <c r="FR8" s="18"/>
      <c r="FS8" s="18"/>
      <c r="FT8" s="18" t="s">
        <v>70</v>
      </c>
      <c r="FU8" s="18">
        <f>arxikigon</f>
        <v>1.33645023930656</v>
      </c>
      <c r="FV8" s="18">
        <f>arxikigon</f>
        <v>1.33645023930656</v>
      </c>
      <c r="FW8" s="18"/>
      <c r="FX8" s="18">
        <f>DEGREES(FV8)</f>
        <v>76.572958241514769</v>
      </c>
      <c r="FY8" s="18"/>
      <c r="FZ8" s="18"/>
      <c r="GA8" s="18"/>
      <c r="GB8" s="18" t="s">
        <v>16</v>
      </c>
      <c r="GC8" s="18" t="s">
        <v>17</v>
      </c>
      <c r="GD8" s="20" t="s">
        <v>29</v>
      </c>
      <c r="GE8" s="17"/>
      <c r="GF8" s="18"/>
      <c r="GG8" s="18"/>
      <c r="GH8" s="18" t="s">
        <v>70</v>
      </c>
      <c r="GI8" s="18">
        <f>arxikigon</f>
        <v>1.33645023930656</v>
      </c>
      <c r="GJ8" s="18">
        <f>arxikigon</f>
        <v>1.33645023930656</v>
      </c>
      <c r="GK8" s="18"/>
      <c r="GL8" s="18">
        <f>DEGREES(GJ8)</f>
        <v>76.572958241514769</v>
      </c>
      <c r="GM8" s="18"/>
      <c r="GN8" s="18"/>
      <c r="GO8" s="18"/>
      <c r="GP8" s="18" t="s">
        <v>16</v>
      </c>
      <c r="GQ8" s="18" t="s">
        <v>17</v>
      </c>
      <c r="GR8" s="20" t="s">
        <v>29</v>
      </c>
      <c r="GS8" s="17"/>
      <c r="GT8" s="18"/>
      <c r="GU8" s="18"/>
      <c r="GV8" s="18" t="s">
        <v>70</v>
      </c>
      <c r="GW8" s="18">
        <f>arxikigon</f>
        <v>1.33645023930656</v>
      </c>
      <c r="GX8" s="18">
        <f>arxikigon</f>
        <v>1.33645023930656</v>
      </c>
      <c r="GY8" s="18"/>
      <c r="GZ8" s="18">
        <f>DEGREES(GX8)</f>
        <v>76.572958241514769</v>
      </c>
      <c r="HA8" s="18"/>
      <c r="HB8" s="18"/>
      <c r="HC8" s="18"/>
      <c r="HD8" s="18" t="s">
        <v>16</v>
      </c>
      <c r="HE8" s="18" t="s">
        <v>17</v>
      </c>
      <c r="HF8" s="20" t="s">
        <v>29</v>
      </c>
    </row>
    <row r="9" spans="1:217">
      <c r="A9">
        <f t="shared" si="8"/>
        <v>3</v>
      </c>
      <c r="B9">
        <f t="shared" si="9"/>
        <v>0.87580797411204314</v>
      </c>
      <c r="C9">
        <f t="shared" si="10"/>
        <v>0.87580797409869982</v>
      </c>
      <c r="D9">
        <f t="shared" si="11"/>
        <v>4.8345124202819889E-6</v>
      </c>
      <c r="E9">
        <f t="shared" si="5"/>
        <v>11.350652805768082</v>
      </c>
      <c r="F9">
        <f t="shared" si="6"/>
        <v>0</v>
      </c>
      <c r="G9" t="str">
        <f t="shared" si="12"/>
        <v/>
      </c>
      <c r="H9">
        <f t="shared" si="13"/>
        <v>11.350652805679132</v>
      </c>
      <c r="S9">
        <f>DEGREES(V2)</f>
        <v>44.824218749999979</v>
      </c>
      <c r="Y9">
        <f>COUNTIF(Y11:Y19,Z8)</f>
        <v>1</v>
      </c>
      <c r="AA9">
        <f>0.5*PI()/Y10</f>
        <v>2.8720227325391559</v>
      </c>
      <c r="AQ9">
        <f>DEGREES(AT2)</f>
        <v>45</v>
      </c>
      <c r="AW9">
        <f>COUNTIF(AW11:AW19,AX8)</f>
        <v>1</v>
      </c>
      <c r="AY9">
        <f>0.5*PI()/AW10</f>
        <v>2.8720227325391559</v>
      </c>
      <c r="AZ9" t="s">
        <v>73</v>
      </c>
      <c r="BB9" t="s">
        <v>103</v>
      </c>
      <c r="BC9">
        <f>intt1*PI()</f>
        <v>0</v>
      </c>
      <c r="BM9">
        <f>DEGREES(BP2)</f>
        <v>67.5</v>
      </c>
      <c r="BS9">
        <f>COUNTIF(BS11:BS19,BT8)</f>
        <v>1</v>
      </c>
      <c r="BU9">
        <f>0.5*PI()/BS10</f>
        <v>2.8720227325391559</v>
      </c>
      <c r="CB9">
        <f>DEGREES(CE2)</f>
        <v>56.25</v>
      </c>
      <c r="CH9">
        <f>COUNTIF(CH11:CH19,CI8)</f>
        <v>1</v>
      </c>
      <c r="CJ9">
        <f>0.5*PI()/CH10</f>
        <v>2.8720227325391559</v>
      </c>
      <c r="CK9" s="17"/>
      <c r="CL9" s="18"/>
      <c r="CM9" s="18"/>
      <c r="CN9" s="18"/>
      <c r="CO9" s="18"/>
      <c r="CP9" s="18">
        <f>DEGREES(CS2)</f>
        <v>50.625</v>
      </c>
      <c r="CQ9" s="18"/>
      <c r="CR9" s="18"/>
      <c r="CS9" s="18"/>
      <c r="CT9" s="18"/>
      <c r="CU9" s="18"/>
      <c r="CV9" s="18">
        <f>COUNTIF(CV11:CV19,CW8)</f>
        <v>1</v>
      </c>
      <c r="CW9" s="18"/>
      <c r="CX9" s="19">
        <f>0.5*PI()/CV10</f>
        <v>2.8720227325391559</v>
      </c>
      <c r="CY9" s="17"/>
      <c r="CZ9" s="18"/>
      <c r="DA9" s="18"/>
      <c r="DB9" s="18"/>
      <c r="DC9" s="18"/>
      <c r="DD9" s="18">
        <f>DEGREES(DG2)</f>
        <v>47.8125</v>
      </c>
      <c r="DE9" s="18"/>
      <c r="DF9" s="18"/>
      <c r="DG9" s="18"/>
      <c r="DH9" s="18"/>
      <c r="DI9" s="18"/>
      <c r="DJ9" s="18">
        <f>COUNTIF(DJ11:DJ19,DK8)</f>
        <v>1</v>
      </c>
      <c r="DK9" s="18"/>
      <c r="DL9" s="19">
        <f>0.5*PI()/DJ10</f>
        <v>2.8720227325391559</v>
      </c>
      <c r="DM9" s="17"/>
      <c r="DN9" s="18"/>
      <c r="DO9" s="18"/>
      <c r="DP9" s="18"/>
      <c r="DQ9" s="18"/>
      <c r="DR9" s="18">
        <f>DEGREES(DU2)</f>
        <v>46.40625</v>
      </c>
      <c r="DS9" s="18"/>
      <c r="DT9" s="18"/>
      <c r="DU9" s="18"/>
      <c r="DV9" s="18"/>
      <c r="DW9" s="18"/>
      <c r="DX9" s="18">
        <f>COUNTIF(DX11:DX19,DY8)</f>
        <v>1</v>
      </c>
      <c r="DY9" s="18"/>
      <c r="DZ9" s="19">
        <f>0.5*PI()/DX10</f>
        <v>2.8720227325391559</v>
      </c>
      <c r="EA9" s="17"/>
      <c r="EB9" s="18"/>
      <c r="EC9" s="18"/>
      <c r="ED9" s="18"/>
      <c r="EE9" s="18"/>
      <c r="EF9" s="18">
        <f>DEGREES(EI2)</f>
        <v>45.703125000000007</v>
      </c>
      <c r="EG9" s="18"/>
      <c r="EH9" s="18"/>
      <c r="EI9" s="18"/>
      <c r="EJ9" s="18"/>
      <c r="EK9" s="18"/>
      <c r="EL9" s="18">
        <f>COUNTIF(EL11:EL19,EM8)</f>
        <v>1</v>
      </c>
      <c r="EM9" s="18"/>
      <c r="EN9" s="19">
        <f>0.5*PI()/EL10</f>
        <v>2.8720227325391559</v>
      </c>
      <c r="EO9" s="17"/>
      <c r="EP9" s="18"/>
      <c r="EQ9" s="18"/>
      <c r="ER9" s="18"/>
      <c r="ES9" s="18"/>
      <c r="ET9" s="18">
        <f>DEGREES(EW2)</f>
        <v>45.351562500000007</v>
      </c>
      <c r="EU9" s="18"/>
      <c r="EV9" s="18"/>
      <c r="EW9" s="18"/>
      <c r="EX9" s="18"/>
      <c r="EY9" s="18"/>
      <c r="EZ9" s="18">
        <f>COUNTIF(EZ11:EZ19,FA8)</f>
        <v>1</v>
      </c>
      <c r="FA9" s="18"/>
      <c r="FB9" s="19">
        <f>0.5*PI()/EZ10</f>
        <v>2.8720227325391559</v>
      </c>
      <c r="FC9" s="17"/>
      <c r="FD9" s="18"/>
      <c r="FE9" s="18"/>
      <c r="FF9" s="18"/>
      <c r="FG9" s="18"/>
      <c r="FH9" s="18">
        <f>DEGREES(FK2)</f>
        <v>45.175781250000007</v>
      </c>
      <c r="FI9" s="18"/>
      <c r="FJ9" s="18"/>
      <c r="FK9" s="18"/>
      <c r="FL9" s="18"/>
      <c r="FM9" s="18"/>
      <c r="FN9" s="18">
        <f>COUNTIF(FN11:FN19,FO8)</f>
        <v>1</v>
      </c>
      <c r="FO9" s="18"/>
      <c r="FP9" s="19">
        <f>0.5*PI()/FN10</f>
        <v>2.8720227325391559</v>
      </c>
      <c r="FQ9" s="17"/>
      <c r="FR9" s="18"/>
      <c r="FS9" s="18"/>
      <c r="FT9" s="18"/>
      <c r="FU9" s="18"/>
      <c r="FV9" s="18">
        <f>DEGREES(FY2)</f>
        <v>45.087890625</v>
      </c>
      <c r="FW9" s="18"/>
      <c r="FX9" s="18"/>
      <c r="FY9" s="18"/>
      <c r="FZ9" s="18"/>
      <c r="GA9" s="18"/>
      <c r="GB9" s="18">
        <f>COUNTIF(GB11:GB19,GC8)</f>
        <v>1</v>
      </c>
      <c r="GC9" s="18"/>
      <c r="GD9" s="19">
        <f>0.5*PI()/GB10</f>
        <v>2.8720227325391559</v>
      </c>
      <c r="GE9" s="17"/>
      <c r="GF9" s="18"/>
      <c r="GG9" s="18"/>
      <c r="GH9" s="18"/>
      <c r="GI9" s="18"/>
      <c r="GJ9" s="18">
        <f>DEGREES(GM2)</f>
        <v>45</v>
      </c>
      <c r="GK9" s="18"/>
      <c r="GL9" s="18"/>
      <c r="GM9" s="18"/>
      <c r="GN9" s="18"/>
      <c r="GO9" s="18"/>
      <c r="GP9" s="18">
        <f>COUNTIF(GP11:GP19,GQ8)</f>
        <v>1</v>
      </c>
      <c r="GQ9" s="18"/>
      <c r="GR9" s="19">
        <f>0.5*PI()/GP10</f>
        <v>2.8720227325391559</v>
      </c>
      <c r="GS9" s="17"/>
      <c r="GT9" s="18"/>
      <c r="GU9" s="18"/>
      <c r="GV9" s="18"/>
      <c r="GW9" s="18"/>
      <c r="GX9" s="18">
        <f>DEGREES(HA2)</f>
        <v>44.82421875</v>
      </c>
      <c r="GY9" s="18"/>
      <c r="GZ9" s="18"/>
      <c r="HA9" s="18"/>
      <c r="HB9" s="18"/>
      <c r="HC9" s="18"/>
      <c r="HD9" s="18">
        <f>COUNTIF(HD11:HD19,HE8)</f>
        <v>1</v>
      </c>
      <c r="HE9" s="18"/>
      <c r="HF9" s="19">
        <f>0.5*PI()/HD10</f>
        <v>2.8720227325391559</v>
      </c>
    </row>
    <row r="10" spans="1:217" ht="18.75">
      <c r="A10">
        <f t="shared" si="8"/>
        <v>4</v>
      </c>
      <c r="B10">
        <f t="shared" si="9"/>
        <v>0.87580797410537148</v>
      </c>
      <c r="C10">
        <f t="shared" si="10"/>
        <v>0.87580797410537148</v>
      </c>
      <c r="D10">
        <f t="shared" si="11"/>
        <v>6.6716632218799532E-12</v>
      </c>
      <c r="E10">
        <f t="shared" si="5"/>
        <v>22.701305611363232</v>
      </c>
      <c r="F10">
        <f>IF(ABS(D10)&lt;0.0000000000000001,1,0)</f>
        <v>0</v>
      </c>
      <c r="G10">
        <f t="shared" si="12"/>
        <v>22.701305611363232</v>
      </c>
      <c r="H10">
        <f t="shared" si="13"/>
        <v>22.701305611363232</v>
      </c>
      <c r="M10" t="s">
        <v>18</v>
      </c>
      <c r="N10" t="s">
        <v>19</v>
      </c>
      <c r="Q10" s="3" t="s">
        <v>20</v>
      </c>
      <c r="R10" s="3"/>
      <c r="S10" t="s">
        <v>21</v>
      </c>
      <c r="T10" t="s">
        <v>22</v>
      </c>
      <c r="V10" t="s">
        <v>23</v>
      </c>
      <c r="W10" t="s">
        <v>24</v>
      </c>
      <c r="X10" t="s">
        <v>13</v>
      </c>
      <c r="Y10">
        <f>SUM(Y11:Y19)/Y9</f>
        <v>0.54693032509744632</v>
      </c>
      <c r="AK10" t="s">
        <v>18</v>
      </c>
      <c r="AL10" t="s">
        <v>19</v>
      </c>
      <c r="AO10" s="3" t="s">
        <v>20</v>
      </c>
      <c r="AP10" s="3"/>
      <c r="AQ10" t="s">
        <v>21</v>
      </c>
      <c r="AR10" t="s">
        <v>22</v>
      </c>
      <c r="AT10" t="s">
        <v>23</v>
      </c>
      <c r="AU10" t="s">
        <v>24</v>
      </c>
      <c r="AV10" t="s">
        <v>13</v>
      </c>
      <c r="AW10">
        <f>SUM(AW11:AW19)/AW9</f>
        <v>0.54693032509744632</v>
      </c>
      <c r="AZ10" t="s">
        <v>74</v>
      </c>
      <c r="BB10" t="s">
        <v>104</v>
      </c>
      <c r="BC10">
        <f>intt2_*PI()/2</f>
        <v>1.5707963267948966</v>
      </c>
      <c r="BD10">
        <f>IN2*PI()</f>
        <v>0</v>
      </c>
      <c r="BG10" t="s">
        <v>18</v>
      </c>
      <c r="BH10" t="s">
        <v>19</v>
      </c>
      <c r="BK10" s="3" t="s">
        <v>20</v>
      </c>
      <c r="BL10" s="3"/>
      <c r="BM10" t="s">
        <v>21</v>
      </c>
      <c r="BN10" t="s">
        <v>22</v>
      </c>
      <c r="BP10" t="s">
        <v>23</v>
      </c>
      <c r="BQ10" t="s">
        <v>24</v>
      </c>
      <c r="BR10" t="s">
        <v>13</v>
      </c>
      <c r="BS10">
        <f>SUM(BS11:BS19)/BS9</f>
        <v>0.54693032509744632</v>
      </c>
      <c r="BW10" t="s">
        <v>19</v>
      </c>
      <c r="BZ10" s="3" t="s">
        <v>20</v>
      </c>
      <c r="CA10" s="3"/>
      <c r="CB10" t="s">
        <v>21</v>
      </c>
      <c r="CC10" t="s">
        <v>22</v>
      </c>
      <c r="CE10" t="s">
        <v>23</v>
      </c>
      <c r="CF10" t="s">
        <v>24</v>
      </c>
      <c r="CG10" t="s">
        <v>13</v>
      </c>
      <c r="CH10">
        <f>SUM(CH11:CH19)/CH9</f>
        <v>0.54693032509744632</v>
      </c>
      <c r="CK10" s="17" t="s">
        <v>19</v>
      </c>
      <c r="CL10" s="18"/>
      <c r="CM10" s="18"/>
      <c r="CN10" s="21" t="s">
        <v>20</v>
      </c>
      <c r="CO10" s="21"/>
      <c r="CP10" s="18" t="s">
        <v>21</v>
      </c>
      <c r="CQ10" s="18" t="s">
        <v>22</v>
      </c>
      <c r="CR10" s="18"/>
      <c r="CS10" s="18" t="s">
        <v>23</v>
      </c>
      <c r="CT10" s="18" t="s">
        <v>24</v>
      </c>
      <c r="CU10" s="18" t="s">
        <v>13</v>
      </c>
      <c r="CV10" s="18">
        <f>SUM(CV11:CV19)/CV9</f>
        <v>0.54693032509744632</v>
      </c>
      <c r="CW10" s="18"/>
      <c r="CX10" s="19"/>
      <c r="CY10" s="17" t="s">
        <v>19</v>
      </c>
      <c r="CZ10" s="18"/>
      <c r="DA10" s="18"/>
      <c r="DB10" s="21" t="s">
        <v>20</v>
      </c>
      <c r="DC10" s="21"/>
      <c r="DD10" s="18" t="s">
        <v>21</v>
      </c>
      <c r="DE10" s="18" t="s">
        <v>22</v>
      </c>
      <c r="DF10" s="18"/>
      <c r="DG10" s="18" t="s">
        <v>23</v>
      </c>
      <c r="DH10" s="18" t="s">
        <v>24</v>
      </c>
      <c r="DI10" s="18" t="s">
        <v>13</v>
      </c>
      <c r="DJ10" s="18">
        <f>SUM(DJ11:DJ19)/DJ9</f>
        <v>0.54693032509744632</v>
      </c>
      <c r="DK10" s="18"/>
      <c r="DL10" s="19"/>
      <c r="DM10" s="17" t="s">
        <v>19</v>
      </c>
      <c r="DN10" s="18"/>
      <c r="DO10" s="18"/>
      <c r="DP10" s="21" t="s">
        <v>20</v>
      </c>
      <c r="DQ10" s="21"/>
      <c r="DR10" s="18" t="s">
        <v>21</v>
      </c>
      <c r="DS10" s="18" t="s">
        <v>22</v>
      </c>
      <c r="DT10" s="18"/>
      <c r="DU10" s="18" t="s">
        <v>23</v>
      </c>
      <c r="DV10" s="18" t="s">
        <v>24</v>
      </c>
      <c r="DW10" s="18" t="s">
        <v>13</v>
      </c>
      <c r="DX10" s="18">
        <f>SUM(DX11:DX19)/DX9</f>
        <v>0.54693032509744632</v>
      </c>
      <c r="DY10" s="18"/>
      <c r="DZ10" s="19"/>
      <c r="EA10" s="17" t="s">
        <v>19</v>
      </c>
      <c r="EB10" s="18"/>
      <c r="EC10" s="18"/>
      <c r="ED10" s="21" t="s">
        <v>20</v>
      </c>
      <c r="EE10" s="21"/>
      <c r="EF10" s="18" t="s">
        <v>21</v>
      </c>
      <c r="EG10" s="18" t="s">
        <v>22</v>
      </c>
      <c r="EH10" s="18"/>
      <c r="EI10" s="18" t="s">
        <v>23</v>
      </c>
      <c r="EJ10" s="18" t="s">
        <v>24</v>
      </c>
      <c r="EK10" s="18" t="s">
        <v>13</v>
      </c>
      <c r="EL10" s="18">
        <f>SUM(EL11:EL19)/EL9</f>
        <v>0.54693032509744632</v>
      </c>
      <c r="EM10" s="18"/>
      <c r="EN10" s="19"/>
      <c r="EO10" s="17" t="s">
        <v>19</v>
      </c>
      <c r="EP10" s="18"/>
      <c r="EQ10" s="18"/>
      <c r="ER10" s="21" t="s">
        <v>20</v>
      </c>
      <c r="ES10" s="21"/>
      <c r="ET10" s="18" t="s">
        <v>21</v>
      </c>
      <c r="EU10" s="18" t="s">
        <v>22</v>
      </c>
      <c r="EV10" s="18"/>
      <c r="EW10" s="18" t="s">
        <v>23</v>
      </c>
      <c r="EX10" s="18" t="s">
        <v>24</v>
      </c>
      <c r="EY10" s="18" t="s">
        <v>13</v>
      </c>
      <c r="EZ10" s="18">
        <f>SUM(EZ11:EZ19)/EZ9</f>
        <v>0.54693032509744632</v>
      </c>
      <c r="FA10" s="18"/>
      <c r="FB10" s="19"/>
      <c r="FC10" s="17" t="s">
        <v>19</v>
      </c>
      <c r="FD10" s="18"/>
      <c r="FE10" s="18"/>
      <c r="FF10" s="21" t="s">
        <v>20</v>
      </c>
      <c r="FG10" s="21"/>
      <c r="FH10" s="18" t="s">
        <v>21</v>
      </c>
      <c r="FI10" s="18" t="s">
        <v>22</v>
      </c>
      <c r="FJ10" s="18"/>
      <c r="FK10" s="18" t="s">
        <v>23</v>
      </c>
      <c r="FL10" s="18" t="s">
        <v>24</v>
      </c>
      <c r="FM10" s="18" t="s">
        <v>13</v>
      </c>
      <c r="FN10" s="18">
        <f>SUM(FN11:FN19)/FN9</f>
        <v>0.54693032509744632</v>
      </c>
      <c r="FO10" s="18"/>
      <c r="FP10" s="19"/>
      <c r="FQ10" s="17" t="s">
        <v>19</v>
      </c>
      <c r="FR10" s="18"/>
      <c r="FS10" s="18"/>
      <c r="FT10" s="21" t="s">
        <v>20</v>
      </c>
      <c r="FU10" s="21"/>
      <c r="FV10" s="18" t="s">
        <v>21</v>
      </c>
      <c r="FW10" s="18" t="s">
        <v>22</v>
      </c>
      <c r="FX10" s="18"/>
      <c r="FY10" s="18" t="s">
        <v>23</v>
      </c>
      <c r="FZ10" s="18" t="s">
        <v>24</v>
      </c>
      <c r="GA10" s="18" t="s">
        <v>13</v>
      </c>
      <c r="GB10" s="18">
        <f>SUM(GB11:GB19)/GB9</f>
        <v>0.54693032509744632</v>
      </c>
      <c r="GC10" s="18"/>
      <c r="GD10" s="19"/>
      <c r="GE10" s="17" t="s">
        <v>19</v>
      </c>
      <c r="GF10" s="18"/>
      <c r="GG10" s="18"/>
      <c r="GH10" s="21" t="s">
        <v>20</v>
      </c>
      <c r="GI10" s="21"/>
      <c r="GJ10" s="18" t="s">
        <v>21</v>
      </c>
      <c r="GK10" s="18" t="s">
        <v>22</v>
      </c>
      <c r="GL10" s="18"/>
      <c r="GM10" s="18" t="s">
        <v>23</v>
      </c>
      <c r="GN10" s="18" t="s">
        <v>24</v>
      </c>
      <c r="GO10" s="18" t="s">
        <v>13</v>
      </c>
      <c r="GP10" s="18">
        <f>SUM(GP11:GP19)/GP9</f>
        <v>0.54693032509744632</v>
      </c>
      <c r="GQ10" s="18"/>
      <c r="GR10" s="19"/>
      <c r="GS10" s="17" t="s">
        <v>19</v>
      </c>
      <c r="GT10" s="18"/>
      <c r="GU10" s="18"/>
      <c r="GV10" s="21" t="s">
        <v>20</v>
      </c>
      <c r="GW10" s="21"/>
      <c r="GX10" s="18" t="s">
        <v>21</v>
      </c>
      <c r="GY10" s="18" t="s">
        <v>22</v>
      </c>
      <c r="GZ10" s="18"/>
      <c r="HA10" s="18" t="s">
        <v>23</v>
      </c>
      <c r="HB10" s="18" t="s">
        <v>24</v>
      </c>
      <c r="HC10" s="18" t="s">
        <v>13</v>
      </c>
      <c r="HD10" s="18">
        <f>SUM(HD11:HD19)/HD9</f>
        <v>0.54693032509744632</v>
      </c>
      <c r="HE10" s="18"/>
      <c r="HF10" s="19"/>
    </row>
    <row r="11" spans="1:217">
      <c r="A11">
        <f t="shared" si="8"/>
        <v>5</v>
      </c>
      <c r="B11">
        <f t="shared" si="9"/>
        <v>0.87580797410537148</v>
      </c>
      <c r="C11">
        <f t="shared" si="10"/>
        <v>0.87580797410537148</v>
      </c>
      <c r="D11">
        <f t="shared" si="11"/>
        <v>0</v>
      </c>
      <c r="E11">
        <f t="shared" si="5"/>
        <v>45.402611222726463</v>
      </c>
      <c r="F11">
        <f t="shared" ref="F11:F18" si="14">IF(ABS(D11)&lt;0.0000000000000001,1,0)</f>
        <v>1</v>
      </c>
      <c r="G11" t="str">
        <f t="shared" si="12"/>
        <v/>
      </c>
      <c r="H11">
        <f t="shared" si="13"/>
        <v>22.701305611363232</v>
      </c>
      <c r="M11">
        <f t="shared" ref="M11:M19" si="15">PI()/(2*V11)</f>
        <v>1.5707963267948966</v>
      </c>
      <c r="N11">
        <f>X11*SIN(U11)</f>
        <v>0.6856656887960052</v>
      </c>
      <c r="O11">
        <f>IF(X11&lt;&gt;0,1/2*X11^2,0)</f>
        <v>0.47303995539283217</v>
      </c>
      <c r="P11">
        <v>0</v>
      </c>
      <c r="Q11">
        <f>S11/(V11)</f>
        <v>0.78233020182167667</v>
      </c>
      <c r="R11">
        <f>SIN(S11)</f>
        <v>0.70493408037590466</v>
      </c>
      <c r="S11">
        <f>RADIANS(S9)</f>
        <v>0.78233020182167667</v>
      </c>
      <c r="U11">
        <f>RADIANS(S9)</f>
        <v>0.78233020182167667</v>
      </c>
      <c r="V11">
        <v>1</v>
      </c>
      <c r="W11">
        <f>COS(arxikigon)</f>
        <v>0.23220699648015705</v>
      </c>
      <c r="X11">
        <f>SIN(arxikigon)</f>
        <v>0.97266639233894803</v>
      </c>
      <c r="Y11">
        <f>IF(V11&lt;&gt;W11,0,IF(V11-V12&lt;&gt;0,V11,0))</f>
        <v>0</v>
      </c>
      <c r="AK11">
        <f t="shared" ref="AK11:AK19" si="16">PI()/(2*AT11)</f>
        <v>1.5707963267948966</v>
      </c>
      <c r="AL11">
        <f>AV11*SIN(AS11)</f>
        <v>0.68777900185512508</v>
      </c>
      <c r="AM11">
        <f>1/2*AV11^2</f>
        <v>0.47303995539283217</v>
      </c>
      <c r="AN11">
        <v>0</v>
      </c>
      <c r="AO11">
        <f>AQ11/(AT11)</f>
        <v>0.78539816339744828</v>
      </c>
      <c r="AQ11">
        <f>RADIANS(AQ9)</f>
        <v>0.78539816339744828</v>
      </c>
      <c r="AS11">
        <f>RADIANS(AQ9)</f>
        <v>0.78539816339744828</v>
      </c>
      <c r="AT11">
        <v>1</v>
      </c>
      <c r="AU11">
        <f>COS(arxikigon)</f>
        <v>0.23220699648015705</v>
      </c>
      <c r="AV11">
        <f>SIN(arxikigon)</f>
        <v>0.97266639233894803</v>
      </c>
      <c r="AW11">
        <f>IF(AT11&lt;&gt;AU11,0,IF(AT11-AT12&lt;&gt;0,AT11,0))</f>
        <v>0</v>
      </c>
      <c r="AZ11" t="s">
        <v>41</v>
      </c>
      <c r="BB11" t="s">
        <v>107</v>
      </c>
      <c r="BC11">
        <f>xx-aker1</f>
        <v>2</v>
      </c>
      <c r="BG11">
        <f t="shared" ref="BG11:BG19" si="17">PI()/(2*BP11)</f>
        <v>1.5707963267948966</v>
      </c>
      <c r="BH11">
        <f>BR11*SIN(BO11)</f>
        <v>0.89862657184354711</v>
      </c>
      <c r="BI11">
        <f>1/2*BR11^2</f>
        <v>0.47303995539283217</v>
      </c>
      <c r="BJ11">
        <v>0</v>
      </c>
      <c r="BK11">
        <f>BM11/(BP11)</f>
        <v>1.1780972450961724</v>
      </c>
      <c r="BM11">
        <f>RADIANS(BM9)</f>
        <v>1.1780972450961724</v>
      </c>
      <c r="BO11">
        <f>RADIANS(BM9)</f>
        <v>1.1780972450961724</v>
      </c>
      <c r="BP11">
        <v>1</v>
      </c>
      <c r="BQ11">
        <f>SQRT(1-SIN(arxikigon)^2)</f>
        <v>0.23220699648015705</v>
      </c>
      <c r="BR11">
        <f>SIN(arxikigon)</f>
        <v>0.97266639233894803</v>
      </c>
      <c r="BS11">
        <f>IF(BP11&lt;&gt;BQ11,0,IF(BP11-BP12&lt;&gt;0,BP11,0))</f>
        <v>0</v>
      </c>
      <c r="BW11">
        <f>CG11*SIN(CD11)</f>
        <v>0.80874254813778046</v>
      </c>
      <c r="BX11">
        <f>1/2*CG11^2</f>
        <v>0.47303995539283217</v>
      </c>
      <c r="BY11">
        <v>0</v>
      </c>
      <c r="BZ11">
        <f>CB11/(CE11)</f>
        <v>0.98174770424681035</v>
      </c>
      <c r="CB11">
        <f>RADIANS(CB9)</f>
        <v>0.98174770424681035</v>
      </c>
      <c r="CD11">
        <f>RADIANS(CB9)</f>
        <v>0.98174770424681035</v>
      </c>
      <c r="CE11">
        <v>1</v>
      </c>
      <c r="CF11">
        <f>SQRT(1-SIN(arxikigon)^2)</f>
        <v>0.23220699648015705</v>
      </c>
      <c r="CG11">
        <f>SIN(arxikigon)</f>
        <v>0.97266639233894803</v>
      </c>
      <c r="CH11">
        <f>IF(CE11&lt;&gt;CF11,0,IF(CE11-CE12&lt;&gt;0,CE11,0))</f>
        <v>0</v>
      </c>
      <c r="CK11" s="17">
        <f>CU11*SIN(CR11)</f>
        <v>0.75188128891262807</v>
      </c>
      <c r="CL11" s="18">
        <f>1/2*CU11^2</f>
        <v>0.47303995539283217</v>
      </c>
      <c r="CM11" s="18">
        <v>0</v>
      </c>
      <c r="CN11" s="18">
        <f>CP11/(CS11)</f>
        <v>0.88357293382212931</v>
      </c>
      <c r="CO11" s="18"/>
      <c r="CP11" s="18">
        <f>RADIANS(CP9)</f>
        <v>0.88357293382212931</v>
      </c>
      <c r="CQ11" s="18"/>
      <c r="CR11" s="18">
        <f>RADIANS(CP9)</f>
        <v>0.88357293382212931</v>
      </c>
      <c r="CS11" s="18">
        <v>1</v>
      </c>
      <c r="CT11" s="18">
        <f>SQRT(1-SIN(arxikigon)^2)</f>
        <v>0.23220699648015705</v>
      </c>
      <c r="CU11" s="18">
        <f>SIN(arxikigon)</f>
        <v>0.97266639233894803</v>
      </c>
      <c r="CV11" s="18">
        <f>IF(CS11&lt;&gt;CT11,0,IF(CS11-CS12&lt;&gt;0,CS11,0))</f>
        <v>0</v>
      </c>
      <c r="CW11" s="18"/>
      <c r="CX11" s="19"/>
      <c r="CY11" s="17">
        <f>DI11*SIN(DF11)</f>
        <v>0.72069825799849174</v>
      </c>
      <c r="CZ11" s="18">
        <f>1/2*DI11^2</f>
        <v>0.47303995539283217</v>
      </c>
      <c r="DA11" s="18">
        <v>0</v>
      </c>
      <c r="DB11" s="18">
        <f>DD11/(DG11)</f>
        <v>0.83448554860978885</v>
      </c>
      <c r="DC11" s="18"/>
      <c r="DD11" s="18">
        <f>RADIANS(DD9)</f>
        <v>0.83448554860978885</v>
      </c>
      <c r="DE11" s="18"/>
      <c r="DF11" s="18">
        <f>RADIANS(DD9)</f>
        <v>0.83448554860978885</v>
      </c>
      <c r="DG11" s="18">
        <v>1</v>
      </c>
      <c r="DH11" s="18">
        <f>SQRT(1-SIN(arxikigon)^2)</f>
        <v>0.23220699648015705</v>
      </c>
      <c r="DI11" s="18">
        <f>SIN(arxikigon)</f>
        <v>0.97266639233894803</v>
      </c>
      <c r="DJ11" s="18">
        <f>IF(DG11&lt;&gt;DH11,0,IF(DG11-DG12&lt;&gt;0,DG11,0))</f>
        <v>0</v>
      </c>
      <c r="DK11" s="18"/>
      <c r="DL11" s="19"/>
      <c r="DM11" s="17">
        <f>DW11*SIN(DT11)</f>
        <v>0.70445079733641014</v>
      </c>
      <c r="DN11" s="18">
        <f>1/2*DW11^2</f>
        <v>0.47303995539283217</v>
      </c>
      <c r="DO11" s="18">
        <v>0</v>
      </c>
      <c r="DP11" s="18">
        <f>DR11/(DU11)</f>
        <v>0.80994185600361857</v>
      </c>
      <c r="DQ11" s="18"/>
      <c r="DR11" s="18">
        <f>RADIANS(DR9)</f>
        <v>0.80994185600361857</v>
      </c>
      <c r="DS11" s="18"/>
      <c r="DT11" s="18">
        <f>RADIANS(DR9)</f>
        <v>0.80994185600361857</v>
      </c>
      <c r="DU11" s="18">
        <v>1</v>
      </c>
      <c r="DV11" s="18">
        <f>SQRT(1-SIN(arxikigon)^2)</f>
        <v>0.23220699648015705</v>
      </c>
      <c r="DW11" s="18">
        <f>SIN(arxikigon)</f>
        <v>0.97266639233894803</v>
      </c>
      <c r="DX11" s="18">
        <f>IF(DU11&lt;&gt;DV11,0,IF(DU11-DU12&lt;&gt;0,DU11,0))</f>
        <v>0</v>
      </c>
      <c r="DY11" s="18"/>
      <c r="DZ11" s="19"/>
      <c r="EA11" s="17">
        <f>EK11*SIN(EH11)</f>
        <v>0.69616731971458989</v>
      </c>
      <c r="EB11" s="18">
        <f>1/2*EK11^2</f>
        <v>0.47303995539283217</v>
      </c>
      <c r="EC11" s="18">
        <v>0</v>
      </c>
      <c r="ED11" s="18">
        <f>EF11/(EI11)</f>
        <v>0.79767000970053359</v>
      </c>
      <c r="EE11" s="18"/>
      <c r="EF11" s="18">
        <f>RADIANS(EF9)</f>
        <v>0.79767000970053359</v>
      </c>
      <c r="EG11" s="18"/>
      <c r="EH11" s="18">
        <f>RADIANS(EF9)</f>
        <v>0.79767000970053359</v>
      </c>
      <c r="EI11" s="18">
        <v>1</v>
      </c>
      <c r="EJ11" s="18">
        <f>SQRT(1-SIN(arxikigon)^2)</f>
        <v>0.23220699648015705</v>
      </c>
      <c r="EK11" s="18">
        <f>SIN(arxikigon)</f>
        <v>0.97266639233894803</v>
      </c>
      <c r="EL11" s="18">
        <f>IF(EI11&lt;&gt;EJ11,0,IF(EI11-EI12&lt;&gt;0,EI11,0))</f>
        <v>0</v>
      </c>
      <c r="EM11" s="18"/>
      <c r="EN11" s="19"/>
      <c r="EO11" s="17">
        <f>EY11*SIN(EV11)</f>
        <v>0.69198618722927596</v>
      </c>
      <c r="EP11" s="18">
        <f>1/2*EY11^2</f>
        <v>0.47303995539283217</v>
      </c>
      <c r="EQ11" s="18">
        <v>0</v>
      </c>
      <c r="ER11" s="18">
        <f>ET11/(EW11)</f>
        <v>0.79153408654899093</v>
      </c>
      <c r="ES11" s="18"/>
      <c r="ET11" s="18">
        <f>RADIANS(ET9)</f>
        <v>0.79153408654899093</v>
      </c>
      <c r="EU11" s="18"/>
      <c r="EV11" s="18">
        <f>RADIANS(ET9)</f>
        <v>0.79153408654899093</v>
      </c>
      <c r="EW11" s="18">
        <v>1</v>
      </c>
      <c r="EX11" s="18">
        <f>SQRT(1-SIN(arxikigon)^2)</f>
        <v>0.23220699648015705</v>
      </c>
      <c r="EY11" s="18">
        <f>SIN(arxikigon)</f>
        <v>0.97266639233894803</v>
      </c>
      <c r="EZ11" s="18">
        <f>IF(EW11&lt;&gt;EX11,0,IF(EW11-EW12&lt;&gt;0,EW11,0))</f>
        <v>0</v>
      </c>
      <c r="FA11" s="18"/>
      <c r="FB11" s="19"/>
      <c r="FC11" s="17">
        <f>FM11*SIN(FJ11)</f>
        <v>0.68988584127634034</v>
      </c>
      <c r="FD11" s="18">
        <f>1/2*FM11^2</f>
        <v>0.47303995539283217</v>
      </c>
      <c r="FE11" s="18">
        <v>0</v>
      </c>
      <c r="FF11" s="18">
        <f>FH11/(FK11)</f>
        <v>0.78846612497321966</v>
      </c>
      <c r="FG11" s="18"/>
      <c r="FH11" s="18">
        <f>RADIANS(FH9)</f>
        <v>0.78846612497321966</v>
      </c>
      <c r="FI11" s="18"/>
      <c r="FJ11" s="18">
        <f>RADIANS(FH9)</f>
        <v>0.78846612497321966</v>
      </c>
      <c r="FK11" s="18">
        <v>1</v>
      </c>
      <c r="FL11" s="18">
        <f>SQRT(1-SIN(arxikigon)^2)</f>
        <v>0.23220699648015705</v>
      </c>
      <c r="FM11" s="18">
        <f>SIN(arxikigon)</f>
        <v>0.97266639233894803</v>
      </c>
      <c r="FN11" s="18">
        <f>IF(FK11&lt;&gt;FL11,0,IF(FK11-FK12&lt;&gt;0,FK11,0))</f>
        <v>0</v>
      </c>
      <c r="FO11" s="18"/>
      <c r="FP11" s="19"/>
      <c r="FQ11" s="17">
        <f>GA11*SIN(FX11)</f>
        <v>0.68883323201129942</v>
      </c>
      <c r="FR11" s="18">
        <f>1/2*GA11^2</f>
        <v>0.47303995539283217</v>
      </c>
      <c r="FS11" s="18">
        <v>0</v>
      </c>
      <c r="FT11" s="18">
        <f>FV11/(FY11)</f>
        <v>0.78693214418533397</v>
      </c>
      <c r="FU11" s="18"/>
      <c r="FV11" s="18">
        <f>RADIANS(FV9)</f>
        <v>0.78693214418533397</v>
      </c>
      <c r="FW11" s="18"/>
      <c r="FX11" s="18">
        <f>RADIANS(FV9)</f>
        <v>0.78693214418533397</v>
      </c>
      <c r="FY11" s="18">
        <v>1</v>
      </c>
      <c r="FZ11" s="18">
        <f>SQRT(1-SIN(arxikigon)^2)</f>
        <v>0.23220699648015705</v>
      </c>
      <c r="GA11" s="18">
        <f>SIN(arxikigon)</f>
        <v>0.97266639233894803</v>
      </c>
      <c r="GB11" s="18">
        <f>IF(FY11&lt;&gt;FZ11,0,IF(FY11-FY12&lt;&gt;0,FY11,0))</f>
        <v>0</v>
      </c>
      <c r="GC11" s="18"/>
      <c r="GD11" s="19"/>
      <c r="GE11" s="17">
        <f>GO11*SIN(GL11)</f>
        <v>0.68777900185512508</v>
      </c>
      <c r="GF11" s="18">
        <f>1/2*GO11^2</f>
        <v>0.47303995539283217</v>
      </c>
      <c r="GG11" s="18">
        <v>0</v>
      </c>
      <c r="GH11" s="18">
        <f>GJ11/(GM11)</f>
        <v>0.78539816339744828</v>
      </c>
      <c r="GI11" s="18"/>
      <c r="GJ11" s="18">
        <f>RADIANS(GJ9)</f>
        <v>0.78539816339744828</v>
      </c>
      <c r="GK11" s="18"/>
      <c r="GL11" s="18">
        <f>RADIANS(GJ9)</f>
        <v>0.78539816339744828</v>
      </c>
      <c r="GM11" s="18">
        <v>1</v>
      </c>
      <c r="GN11" s="18">
        <f>SQRT(1-SIN(arxikigon)^2)</f>
        <v>0.23220699648015705</v>
      </c>
      <c r="GO11" s="18">
        <f>SIN(arxikigon)</f>
        <v>0.97266639233894803</v>
      </c>
      <c r="GP11" s="18">
        <f>IF(GM11&lt;&gt;GN11,0,IF(GM11-GM12&lt;&gt;0,GM11,0))</f>
        <v>0</v>
      </c>
      <c r="GQ11" s="18"/>
      <c r="GR11" s="19"/>
      <c r="GS11" s="17">
        <f>HC11*SIN(GZ11)</f>
        <v>0.68566568879600542</v>
      </c>
      <c r="GT11" s="18">
        <f>1/2*HC11^2</f>
        <v>0.47303995539283217</v>
      </c>
      <c r="GU11" s="18">
        <v>0</v>
      </c>
      <c r="GV11" s="18">
        <f>GX11/(HA11)</f>
        <v>0.78233020182167701</v>
      </c>
      <c r="GW11" s="18"/>
      <c r="GX11" s="18">
        <f>RADIANS(GX9)</f>
        <v>0.78233020182167701</v>
      </c>
      <c r="GY11" s="18"/>
      <c r="GZ11" s="18">
        <f>RADIANS(GX9)</f>
        <v>0.78233020182167701</v>
      </c>
      <c r="HA11" s="18">
        <v>1</v>
      </c>
      <c r="HB11" s="18">
        <f>SQRT(1-SIN(arxikigon)^2)</f>
        <v>0.23220699648015705</v>
      </c>
      <c r="HC11" s="18">
        <f>SIN(arxikigon)</f>
        <v>0.97266639233894803</v>
      </c>
      <c r="HD11" s="18">
        <f>IF(HA11&lt;&gt;HB11,0,IF(HA11-HA12&lt;&gt;0,HA11,0))</f>
        <v>0</v>
      </c>
      <c r="HE11" s="18"/>
      <c r="HF11" s="19"/>
    </row>
    <row r="12" spans="1:217">
      <c r="A12">
        <f t="shared" si="8"/>
        <v>6</v>
      </c>
      <c r="B12">
        <f t="shared" si="9"/>
        <v>0.87580797410537148</v>
      </c>
      <c r="C12">
        <f t="shared" si="10"/>
        <v>0.87580797410537148</v>
      </c>
      <c r="D12">
        <f t="shared" si="11"/>
        <v>0</v>
      </c>
      <c r="E12">
        <f t="shared" si="5"/>
        <v>90.805222445452927</v>
      </c>
      <c r="F12">
        <f t="shared" si="14"/>
        <v>1</v>
      </c>
      <c r="G12" t="str">
        <f t="shared" si="12"/>
        <v/>
      </c>
      <c r="H12">
        <f t="shared" si="13"/>
        <v>22.701305611363232</v>
      </c>
      <c r="M12">
        <f t="shared" si="15"/>
        <v>2.5495656675898322</v>
      </c>
      <c r="N12">
        <f>X12*SIN(U12)</f>
        <v>0.32492119049583984</v>
      </c>
      <c r="O12">
        <f>IF(X12&lt;&gt;0,O11+1/2*2^(P12)*X12^2,0)</f>
        <v>0.6204164794563376</v>
      </c>
      <c r="P12">
        <v>1</v>
      </c>
      <c r="Q12">
        <f t="shared" ref="Q12:Q19" si="18">S12/(V12*2^P12)</f>
        <v>1.1711584463967291</v>
      </c>
      <c r="R12">
        <f>SIN(U12)</f>
        <v>0.8463770547694045</v>
      </c>
      <c r="S12">
        <f>IF(T12&lt;0,S11+T12+(INT(S11/PI())+1)*PI(),S11+INT(S11/PI())*PI()+T12)</f>
        <v>1.4431096316368806</v>
      </c>
      <c r="T12">
        <f>ATAN(W12/V12*TAN(S11))</f>
        <v>0.66077942981520388</v>
      </c>
      <c r="U12">
        <f>U11+ATAN(W11/V11*(TAN(U11)))</f>
        <v>1.0091454892001805</v>
      </c>
      <c r="V12">
        <f>1/2*(V11+W11)</f>
        <v>0.61610349824007848</v>
      </c>
      <c r="W12">
        <f>SQRT(V11*W11)</f>
        <v>0.48187861176872859</v>
      </c>
      <c r="X12">
        <f>1/2*(V11-W11)</f>
        <v>0.38389650175992146</v>
      </c>
      <c r="Y12">
        <f t="shared" ref="Y12:Y19" si="19">IF(V12&lt;&gt;W12,0,IF(V12-V13&lt;&gt;0,V12,0))</f>
        <v>0</v>
      </c>
      <c r="AK12">
        <f t="shared" si="16"/>
        <v>2.5495656675898322</v>
      </c>
      <c r="AL12">
        <f>AV12*SIN(AS12)</f>
        <v>0.32582093510979698</v>
      </c>
      <c r="AM12">
        <f>AM11+1/2*2^(AO12)*AV12^2</f>
        <v>0.63954543934990993</v>
      </c>
      <c r="AN12">
        <v>1</v>
      </c>
      <c r="AO12">
        <f t="shared" ref="AO12:AO19" si="20">AQ12/(AT12*2^AN12)</f>
        <v>1.1760629614864249</v>
      </c>
      <c r="AQ12">
        <f>IF(AR12&lt;0,AQ11+AR12+(INT(AQ11/PI())+1)*PI(),AQ11+INT(AQ11/PI())*PI()+AR12)</f>
        <v>1.449153009444746</v>
      </c>
      <c r="AR12">
        <f>ATAN(AU12/AT12*TAN(AQ11))</f>
        <v>0.66375484604729773</v>
      </c>
      <c r="AS12">
        <f>AS11+ATAN(AU11/AT11*(TAN(AS11)))</f>
        <v>1.0135616504125864</v>
      </c>
      <c r="AT12">
        <f>1/2*(AT11+AU11)</f>
        <v>0.61610349824007848</v>
      </c>
      <c r="AU12">
        <f>SQRT(AT11*AU11)</f>
        <v>0.48187861176872859</v>
      </c>
      <c r="AV12">
        <f>1/2*(AT11-AU11)</f>
        <v>0.38389650175992146</v>
      </c>
      <c r="AW12">
        <f t="shared" ref="AW12:AW19" si="21">IF(AT12&lt;&gt;AU12,0,IF(AT12-AT13&lt;&gt;0,AT12,0))</f>
        <v>0</v>
      </c>
      <c r="AZ12" t="s">
        <v>42</v>
      </c>
      <c r="BB12" t="s">
        <v>108</v>
      </c>
      <c r="BC12">
        <f>aker1+PI()-xx</f>
        <v>1.1415926535897931</v>
      </c>
      <c r="BG12">
        <f t="shared" si="17"/>
        <v>2.5495656675898322</v>
      </c>
      <c r="BH12">
        <f>BR12*SIN(BO12)</f>
        <v>0.38121588364485781</v>
      </c>
      <c r="BI12">
        <f>BI11+1/2*2^(BK12)*BR12^2</f>
        <v>0.73605024805520469</v>
      </c>
      <c r="BJ12">
        <v>1</v>
      </c>
      <c r="BK12">
        <f t="shared" ref="BK12:BK19" si="22">BM12/(BP12*2^BJ12)</f>
        <v>1.8356125265352303</v>
      </c>
      <c r="BM12">
        <f>IF(BN12&lt;0,BM11+BN12+(INT(BM11/PI())+1)*PI(),BM11+INT(BM11/PI())*PI()+BN12)</f>
        <v>2.2618545980233287</v>
      </c>
      <c r="BN12">
        <f>ATAN(BQ12/BP12*TAN(BM11))</f>
        <v>1.0837573529271562</v>
      </c>
      <c r="BO12">
        <f>BO11+ATAN(BQ11/BP11*(TAN(BO11)))</f>
        <v>1.6890401407757016</v>
      </c>
      <c r="BP12">
        <f>1/2*(BP11+BQ11)</f>
        <v>0.61610349824007848</v>
      </c>
      <c r="BQ12">
        <f>SQRT(BP11*BQ11)</f>
        <v>0.48187861176872859</v>
      </c>
      <c r="BR12">
        <f>1/2*(BP11-BQ11)</f>
        <v>0.38389650175992146</v>
      </c>
      <c r="BS12">
        <f t="shared" ref="BS12:BS19" si="23">IF(BP12&lt;&gt;BQ12,0,IF(BP12-BP13&lt;&gt;0,BP12,0))</f>
        <v>0</v>
      </c>
      <c r="BW12">
        <f>CG12*SIN(CD12)</f>
        <v>0.37152292321597019</v>
      </c>
      <c r="BX12">
        <f>BX11+1/2*2^(BZ12)*CG12^2</f>
        <v>0.68113971755449332</v>
      </c>
      <c r="BY12">
        <v>1</v>
      </c>
      <c r="BZ12">
        <f t="shared" ref="BZ12:BZ19" si="24">CB12/(CE12*2^BY12)</f>
        <v>1.4977685835989973</v>
      </c>
      <c r="CB12">
        <f>IF(CC12&lt;0,CB11+CC12+(INT(CB11/PI())+1)*PI(),CB11+INT(CB11/PI())*PI()+CC12)</f>
        <v>1.8455609278188594</v>
      </c>
      <c r="CC12">
        <f>ATAN(CF12/CE12*TAN(CB11))</f>
        <v>0.86381322357204893</v>
      </c>
      <c r="CD12">
        <f>CD11+ATAN(CF11/CE11*(TAN(CD11)))</f>
        <v>1.3162135414487981</v>
      </c>
      <c r="CE12">
        <f>1/2*(CE11+CF11)</f>
        <v>0.61610349824007848</v>
      </c>
      <c r="CF12">
        <f>SQRT(CE11*CF11)</f>
        <v>0.48187861176872859</v>
      </c>
      <c r="CG12">
        <f>1/2*(CE11-CF11)</f>
        <v>0.38389650175992146</v>
      </c>
      <c r="CH12">
        <f t="shared" ref="CH12:CH19" si="25">IF(CE12&lt;&gt;CF12,0,IF(CE12-CE13&lt;&gt;0,CE12,0))</f>
        <v>0</v>
      </c>
      <c r="CK12" s="17">
        <f>CU12*SIN(CR12)</f>
        <v>0.3518517159806045</v>
      </c>
      <c r="CL12" s="18">
        <f>CL11+1/2*2^(CN12)*CU12^2</f>
        <v>0.65893051420171866</v>
      </c>
      <c r="CM12" s="18">
        <v>1</v>
      </c>
      <c r="CN12" s="18">
        <f t="shared" ref="CN12:CN19" si="26">CP12/(CS12*2^CM12)</f>
        <v>1.3349467665031214</v>
      </c>
      <c r="CO12" s="18"/>
      <c r="CP12" s="18">
        <f>IF(CQ12&lt;0,CP11+CQ12+(INT(CP11/PI())+1)*PI(),CP11+INT(CP11/PI())*PI()+CQ12)</f>
        <v>1.6449307456137086</v>
      </c>
      <c r="CQ12" s="18">
        <f>ATAN(CT12/CS12*TAN(CP11))</f>
        <v>0.76135781179157935</v>
      </c>
      <c r="CR12" s="18">
        <f>CR11+ATAN(CT11/CS11*(TAN(CR11)))</f>
        <v>1.159310481797619</v>
      </c>
      <c r="CS12" s="18">
        <f>1/2*(CS11+CT11)</f>
        <v>0.61610349824007848</v>
      </c>
      <c r="CT12" s="18">
        <f>SQRT(CS11*CT11)</f>
        <v>0.48187861176872859</v>
      </c>
      <c r="CU12" s="18">
        <f>1/2*(CS11-CT11)</f>
        <v>0.38389650175992146</v>
      </c>
      <c r="CV12" s="18">
        <f t="shared" ref="CV12:CV19" si="27">IF(CS12&lt;&gt;CT12,0,IF(CS12-CS13&lt;&gt;0,CS12,0))</f>
        <v>0</v>
      </c>
      <c r="CW12" s="18"/>
      <c r="CX12" s="19"/>
      <c r="CY12" s="17">
        <f>DI12*SIN(DF12)</f>
        <v>0.33953328073162831</v>
      </c>
      <c r="CZ12" s="18">
        <f>CZ11+1/2*2^(DB12)*DI12^2</f>
        <v>0.64891303042128368</v>
      </c>
      <c r="DA12" s="18">
        <v>1</v>
      </c>
      <c r="DB12" s="18">
        <f t="shared" ref="DB12:DB19" si="28">DD12/(DG12*2^DA12)</f>
        <v>1.2550279003055285</v>
      </c>
      <c r="DC12" s="18"/>
      <c r="DD12" s="18">
        <f>IF(DE12&lt;0,DD11+DE12+(INT(DD11/PI())+1)*PI(),DD11+INT(DD11/PI())*PI()+DE12)</f>
        <v>1.5464541595342731</v>
      </c>
      <c r="DE12" s="18">
        <f>ATAN(DH12/DG12*TAN(DD11))</f>
        <v>0.71196861092448438</v>
      </c>
      <c r="DF12" s="18">
        <f>DF11+ATAN(DH11/DG11*(TAN(DF11)))</f>
        <v>1.0852918215533638</v>
      </c>
      <c r="DG12" s="18">
        <f>1/2*(DG11+DH11)</f>
        <v>0.61610349824007848</v>
      </c>
      <c r="DH12" s="18">
        <f>SQRT(DG11*DH11)</f>
        <v>0.48187861176872859</v>
      </c>
      <c r="DI12" s="18">
        <f>1/2*(DG11-DH11)</f>
        <v>0.38389650175992146</v>
      </c>
      <c r="DJ12" s="18">
        <f t="shared" ref="DJ12:DJ19" si="29">IF(DG12&lt;&gt;DH12,0,IF(DG12-DG13&lt;&gt;0,DG12,0))</f>
        <v>0</v>
      </c>
      <c r="DK12" s="18"/>
      <c r="DL12" s="19"/>
      <c r="DM12" s="17">
        <f>DW12*SIN(DT12)</f>
        <v>0.33284133622804279</v>
      </c>
      <c r="DN12" s="18">
        <f>DN11+1/2*2^(DP12)*DW12^2</f>
        <v>0.64415128329064542</v>
      </c>
      <c r="DO12" s="18">
        <v>1</v>
      </c>
      <c r="DP12" s="18">
        <f t="shared" ref="DP12:DP19" si="30">DR12/(DU12*2^DO12)</f>
        <v>1.2154285395540421</v>
      </c>
      <c r="DQ12" s="18"/>
      <c r="DR12" s="18">
        <f>IF(DS12&lt;0,DR11+DS12+(INT(DR11/PI())+1)*PI(),DR11+INT(DR11/PI())*PI()+DS12)</f>
        <v>1.49765955016015</v>
      </c>
      <c r="DS12" s="18">
        <f>ATAN(DV12/DU12*TAN(DR11))</f>
        <v>0.6877176941565315</v>
      </c>
      <c r="DT12" s="18">
        <f>DT11+ATAN(DV11/DU11*(TAN(DT11)))</f>
        <v>1.0491660906118889</v>
      </c>
      <c r="DU12" s="18">
        <f>1/2*(DU11+DV11)</f>
        <v>0.61610349824007848</v>
      </c>
      <c r="DV12" s="18">
        <f>SQRT(DU11*DV11)</f>
        <v>0.48187861176872859</v>
      </c>
      <c r="DW12" s="18">
        <f>1/2*(DU11-DV11)</f>
        <v>0.38389650175992146</v>
      </c>
      <c r="DX12" s="18">
        <f t="shared" ref="DX12:DX19" si="31">IF(DU12&lt;&gt;DV12,0,IF(DU12-DU13&lt;&gt;0,DU12,0))</f>
        <v>0</v>
      </c>
      <c r="DY12" s="18"/>
      <c r="DZ12" s="19"/>
      <c r="EA12" s="17">
        <f>EK12*SIN(EH12)</f>
        <v>0.3293710469111909</v>
      </c>
      <c r="EB12" s="18">
        <f>EB11+1/2*2^(ED12)*EK12^2</f>
        <v>0.64182927021112435</v>
      </c>
      <c r="EC12" s="18">
        <v>1</v>
      </c>
      <c r="ED12" s="18">
        <f t="shared" ref="ED12:ED19" si="32">EF12/(EI12*2^EC12)</f>
        <v>1.1957168447360456</v>
      </c>
      <c r="EE12" s="18"/>
      <c r="EF12" s="18">
        <f>IF(EG12&lt;0,EF11+EG12+(INT(EF11/PI())+1)*PI(),EF11+INT(EF11/PI())*PI()+EG12)</f>
        <v>1.473370661892933</v>
      </c>
      <c r="EG12" s="18">
        <f>ATAN(EJ12/EI12*TAN(EF11))</f>
        <v>0.67570065219239928</v>
      </c>
      <c r="EH12" s="18">
        <f>EH11+ATAN(EJ11/EI11*(TAN(EH11)))</f>
        <v>1.0313015915783961</v>
      </c>
      <c r="EI12" s="18">
        <f>1/2*(EI11+EJ11)</f>
        <v>0.61610349824007848</v>
      </c>
      <c r="EJ12" s="18">
        <f>SQRT(EI11*EJ11)</f>
        <v>0.48187861176872859</v>
      </c>
      <c r="EK12" s="18">
        <f>1/2*(EI11-EJ11)</f>
        <v>0.38389650175992146</v>
      </c>
      <c r="EL12" s="18">
        <f t="shared" ref="EL12:EL19" si="33">IF(EI12&lt;&gt;EJ12,0,IF(EI12-EI13&lt;&gt;0,EI12,0))</f>
        <v>0</v>
      </c>
      <c r="EM12" s="18"/>
      <c r="EN12" s="19"/>
      <c r="EO12" s="17">
        <f>EY12*SIN(EV12)</f>
        <v>0.32760583135467736</v>
      </c>
      <c r="EP12" s="18">
        <f>EP11+1/2*2^(ER12)*EY12^2</f>
        <v>0.64068263074573517</v>
      </c>
      <c r="EQ12" s="18">
        <v>1</v>
      </c>
      <c r="ER12" s="18">
        <f t="shared" ref="ER12:ER19" si="34">ET12/(EW12*2^EQ12)</f>
        <v>1.1858827176370978</v>
      </c>
      <c r="ES12" s="18"/>
      <c r="ET12" s="18">
        <f>IF(EU12&lt;0,ET11+EU12+(INT(ET11/PI())+1)*PI(),ET11+INT(ET11/PI())*PI()+EU12)</f>
        <v>1.4612529816773345</v>
      </c>
      <c r="EU12" s="18">
        <f>ATAN(EX12/EW12*TAN(ET11))</f>
        <v>0.66971889512834359</v>
      </c>
      <c r="EV12" s="18">
        <f>EV11+ATAN(EX11/EW11*(TAN(EV11)))</f>
        <v>1.0224163949417351</v>
      </c>
      <c r="EW12" s="18">
        <f>1/2*(EW11+EX11)</f>
        <v>0.61610349824007848</v>
      </c>
      <c r="EX12" s="18">
        <f>SQRT(EW11*EX11)</f>
        <v>0.48187861176872859</v>
      </c>
      <c r="EY12" s="18">
        <f>1/2*(EW11-EX11)</f>
        <v>0.38389650175992146</v>
      </c>
      <c r="EZ12" s="18">
        <f t="shared" ref="EZ12:EZ19" si="35">IF(EW12&lt;&gt;EX12,0,IF(EW12-EW13&lt;&gt;0,EW12,0))</f>
        <v>0</v>
      </c>
      <c r="FA12" s="18"/>
      <c r="FB12" s="19"/>
      <c r="FC12" s="17">
        <f>FM12*SIN(FJ12)</f>
        <v>0.32671582647226743</v>
      </c>
      <c r="FD12" s="18">
        <f>FD11+1/2*2^(FF12)*FM12^2</f>
        <v>0.64011286007874402</v>
      </c>
      <c r="FE12" s="18">
        <v>1</v>
      </c>
      <c r="FF12" s="18">
        <f t="shared" ref="FF12:FF19" si="36">FH12/(FK12*2^FE12)</f>
        <v>1.180971048394909</v>
      </c>
      <c r="FG12" s="18"/>
      <c r="FH12" s="18">
        <f>IF(FI12&lt;0,FH11+FI12+(INT(FH11/PI())+1)*PI(),FH11+INT(FH11/PI())*PI()+FI12)</f>
        <v>1.4552007884727129</v>
      </c>
      <c r="FI12" s="18">
        <f>ATAN(FL12/FK12*TAN(FH11))</f>
        <v>0.6667346634994934</v>
      </c>
      <c r="FJ12" s="18">
        <f>FJ11+ATAN(FL11/FK11*(TAN(FJ11)))</f>
        <v>1.0179852581354696</v>
      </c>
      <c r="FK12" s="18">
        <f>1/2*(FK11+FL11)</f>
        <v>0.61610349824007848</v>
      </c>
      <c r="FL12" s="18">
        <f>SQRT(FK11*FL11)</f>
        <v>0.48187861176872859</v>
      </c>
      <c r="FM12" s="18">
        <f>1/2*(FK11-FL11)</f>
        <v>0.38389650175992146</v>
      </c>
      <c r="FN12" s="18">
        <f t="shared" ref="FN12:FN19" si="37">IF(FK12&lt;&gt;FL12,0,IF(FK12-FK13&lt;&gt;0,FK12,0))</f>
        <v>0</v>
      </c>
      <c r="FO12" s="18"/>
      <c r="FP12" s="19"/>
      <c r="FQ12" s="17">
        <f>GA12*SIN(FX12)</f>
        <v>0.32626898951569427</v>
      </c>
      <c r="FR12" s="18">
        <f>FR11+1/2*2^(FT12)*GA12^2</f>
        <v>0.63982885672369538</v>
      </c>
      <c r="FS12" s="18">
        <v>1</v>
      </c>
      <c r="FT12" s="18">
        <f t="shared" ref="FT12:FT19" si="38">FV12/(FY12*2^FS12)</f>
        <v>1.1785165578040664</v>
      </c>
      <c r="FU12" s="18"/>
      <c r="FV12" s="18">
        <f>IF(FW12&lt;0,FV11+FW12+(INT(FV11/PI())+1)*PI(),FV11+INT(FV11/PI())*PI()+FW12)</f>
        <v>1.4521763479938818</v>
      </c>
      <c r="FW12" s="18">
        <f>ATAN(FZ12/FY12*TAN(FV11))</f>
        <v>0.66524420380854787</v>
      </c>
      <c r="FX12" s="18">
        <f>FX11+ATAN(FZ11/FY11*(TAN(FX11)))</f>
        <v>1.0157725183248172</v>
      </c>
      <c r="FY12" s="18">
        <f>1/2*(FY11+FZ11)</f>
        <v>0.61610349824007848</v>
      </c>
      <c r="FZ12" s="18">
        <f>SQRT(FY11*FZ11)</f>
        <v>0.48187861176872859</v>
      </c>
      <c r="GA12" s="18">
        <f>1/2*(FY11-FZ11)</f>
        <v>0.38389650175992146</v>
      </c>
      <c r="GB12" s="18">
        <f t="shared" ref="GB12:GB19" si="39">IF(FY12&lt;&gt;FZ12,0,IF(FY12-FY13&lt;&gt;0,FY12,0))</f>
        <v>0</v>
      </c>
      <c r="GC12" s="18"/>
      <c r="GD12" s="19"/>
      <c r="GE12" s="17">
        <f>GO12*SIN(GL12)</f>
        <v>0.32582093510979698</v>
      </c>
      <c r="GF12" s="18">
        <f>GF11+1/2*2^(GH12)*GO12^2</f>
        <v>0.63954543934990993</v>
      </c>
      <c r="GG12" s="18">
        <v>1</v>
      </c>
      <c r="GH12" s="18">
        <f t="shared" ref="GH12:GH19" si="40">GJ12/(GM12*2^GG12)</f>
        <v>1.1760629614864249</v>
      </c>
      <c r="GI12" s="18"/>
      <c r="GJ12" s="18">
        <f>IF(GK12&lt;0,GJ11+GK12+(INT(GJ11/PI())+1)*PI(),GJ11+INT(GJ11/PI())*PI()+GK12)</f>
        <v>1.449153009444746</v>
      </c>
      <c r="GK12" s="18">
        <f>ATAN(GN12/GM12*TAN(GJ11))</f>
        <v>0.66375484604729773</v>
      </c>
      <c r="GL12" s="18">
        <f>GL11+ATAN(GN11/GM11*(TAN(GL11)))</f>
        <v>1.0135616504125864</v>
      </c>
      <c r="GM12" s="18">
        <f>1/2*(GM11+GN11)</f>
        <v>0.61610349824007848</v>
      </c>
      <c r="GN12" s="18">
        <f>SQRT(GM11*GN11)</f>
        <v>0.48187861176872859</v>
      </c>
      <c r="GO12" s="18">
        <f>1/2*(GM11-GN11)</f>
        <v>0.38389650175992146</v>
      </c>
      <c r="GP12" s="18">
        <f t="shared" ref="GP12:GP19" si="41">IF(GM12&lt;&gt;GN12,0,IF(GM12-GM13&lt;&gt;0,GM12,0))</f>
        <v>0</v>
      </c>
      <c r="GQ12" s="18"/>
      <c r="GR12" s="19"/>
      <c r="GS12" s="17">
        <f>HC12*SIN(GZ12)</f>
        <v>0.3249211904958399</v>
      </c>
      <c r="GT12" s="18">
        <f>GT11+1/2*2^(GV12)*HC12^2</f>
        <v>0.63898035655570129</v>
      </c>
      <c r="GU12" s="18">
        <v>1</v>
      </c>
      <c r="GV12" s="18">
        <f t="shared" ref="GV12:GV19" si="42">GX12/(HA12*2^GU12)</f>
        <v>1.1711584463967297</v>
      </c>
      <c r="GW12" s="18"/>
      <c r="GX12" s="18">
        <f>IF(GY12&lt;0,GX11+GY12+(INT(GX11/PI())+1)*PI(),GX11+INT(GX11/PI())*PI()+GY12)</f>
        <v>1.4431096316368812</v>
      </c>
      <c r="GY12" s="18">
        <f>ATAN(HB12/HA12*TAN(GX11))</f>
        <v>0.6607794298152041</v>
      </c>
      <c r="GZ12" s="18">
        <f>GZ11+ATAN(HB11/HA11*(TAN(GZ11)))</f>
        <v>1.009145489200181</v>
      </c>
      <c r="HA12" s="18">
        <f>1/2*(HA11+HB11)</f>
        <v>0.61610349824007848</v>
      </c>
      <c r="HB12" s="18">
        <f>SQRT(HA11*HB11)</f>
        <v>0.48187861176872859</v>
      </c>
      <c r="HC12" s="18">
        <f>1/2*(HA11-HB11)</f>
        <v>0.38389650175992146</v>
      </c>
      <c r="HD12" s="18">
        <f t="shared" ref="HD12:HD19" si="43">IF(HA12&lt;&gt;HB12,0,IF(HA12-HA13&lt;&gt;0,HA12,0))</f>
        <v>0</v>
      </c>
      <c r="HE12" s="18"/>
      <c r="HF12" s="19"/>
    </row>
    <row r="13" spans="1:217">
      <c r="A13">
        <f t="shared" si="8"/>
        <v>7</v>
      </c>
      <c r="B13">
        <f t="shared" si="9"/>
        <v>0.87580797410537148</v>
      </c>
      <c r="C13">
        <f t="shared" si="10"/>
        <v>0.87580797410537148</v>
      </c>
      <c r="D13">
        <f t="shared" si="11"/>
        <v>0</v>
      </c>
      <c r="E13">
        <f t="shared" si="5"/>
        <v>181.61044489090585</v>
      </c>
      <c r="F13">
        <f t="shared" si="14"/>
        <v>1</v>
      </c>
      <c r="G13" t="str">
        <f t="shared" si="12"/>
        <v/>
      </c>
      <c r="H13">
        <f t="shared" si="13"/>
        <v>22.701305611363232</v>
      </c>
      <c r="M13">
        <f t="shared" si="15"/>
        <v>2.8612421140127631</v>
      </c>
      <c r="N13">
        <f t="shared" ref="N13:N20" si="44">N12+X13*SIN(S13)</f>
        <v>0.34193620776581091</v>
      </c>
      <c r="O13">
        <f t="shared" ref="O13:O19" si="45">IF(X13&lt;&gt;0,O12+1/2*2^(P13)*X13^2,0)</f>
        <v>0.62942463953046102</v>
      </c>
      <c r="P13">
        <f t="shared" ref="P13:P20" si="46">P12+1</f>
        <v>2</v>
      </c>
      <c r="Q13">
        <f t="shared" si="18"/>
        <v>1.3138943181823106</v>
      </c>
      <c r="R13">
        <f t="shared" ref="R13:R19" si="47">SIN(U13)</f>
        <v>0.94550620912873096</v>
      </c>
      <c r="S13">
        <f>IF(T13&lt;0,S12+T13+(INT(S12/PI())+1)*PI(),S12+INT(S12/PI())*PI()+T13)</f>
        <v>2.8852649116127926</v>
      </c>
      <c r="T13">
        <f t="shared" ref="T13:T19" si="48">ATAN(W13/V13*TAN(S12))</f>
        <v>1.4421552799759119</v>
      </c>
      <c r="U13">
        <f t="shared" ref="U13:U19" si="49">U12+ATAN(W12/V12*(TAN(U12)))</f>
        <v>1.9024468668548011</v>
      </c>
      <c r="V13">
        <f t="shared" ref="V13:V19" si="50">1/2*(V12+W12)</f>
        <v>0.54899105500440348</v>
      </c>
      <c r="W13">
        <f t="shared" ref="W13:W19" si="51">SQRT(V12*W12)</f>
        <v>0.54487347011740839</v>
      </c>
      <c r="X13">
        <f t="shared" ref="X13:X19" si="52">1/2*(V12-W12)</f>
        <v>6.7112443235674946E-2</v>
      </c>
      <c r="Y13">
        <f t="shared" si="19"/>
        <v>0</v>
      </c>
      <c r="AK13">
        <f t="shared" si="16"/>
        <v>2.8612421140127631</v>
      </c>
      <c r="AL13">
        <f t="shared" ref="AL13:AL20" si="53">AL12+AV13*SIN(AQ13)</f>
        <v>0.34204717888631841</v>
      </c>
      <c r="AM13">
        <f t="shared" ref="AM13:AM19" si="54">AM12+1/2*2^(AO13)*AV13^2</f>
        <v>0.64516575440763857</v>
      </c>
      <c r="AN13">
        <f t="shared" ref="AN13:AN20" si="55">AN12+1</f>
        <v>2</v>
      </c>
      <c r="AO13">
        <f t="shared" si="20"/>
        <v>1.3194185416032889</v>
      </c>
      <c r="AQ13">
        <f>IF(AR13&lt;0,AQ12+AR13+(INT(AQ12/PI())+1)*PI(),AQ12+INT(AQ12/PI())*PI()+AR13)</f>
        <v>2.8973959085886438</v>
      </c>
      <c r="AR13">
        <f t="shared" ref="AR13:AR19" si="56">ATAN(AU13/AT13*TAN(AQ12))</f>
        <v>1.4482428991438976</v>
      </c>
      <c r="AS13">
        <f t="shared" ref="AS13:AS19" si="57">AS12+ATAN(AU12/AT12*(TAN(AS12)))</f>
        <v>1.9116530222586539</v>
      </c>
      <c r="AT13">
        <f t="shared" ref="AT13:AT19" si="58">1/2*(AT12+AU12)</f>
        <v>0.54899105500440348</v>
      </c>
      <c r="AU13">
        <f t="shared" ref="AU13:AU19" si="59">SQRT(AT12*AU12)</f>
        <v>0.54487347011740839</v>
      </c>
      <c r="AV13">
        <f t="shared" ref="AV13:AV19" si="60">1/2*(AT12-AU12)</f>
        <v>6.7112443235674946E-2</v>
      </c>
      <c r="AW13">
        <f t="shared" si="21"/>
        <v>0</v>
      </c>
      <c r="AZ13" t="s">
        <v>75</v>
      </c>
      <c r="BB13" t="s">
        <v>110</v>
      </c>
      <c r="BG13">
        <f t="shared" si="17"/>
        <v>2.8612421140127631</v>
      </c>
      <c r="BH13">
        <f t="shared" ref="BH13:BH20" si="61">BH12+BR13*SIN(BM13)</f>
        <v>0.31524838021304824</v>
      </c>
      <c r="BI13">
        <f t="shared" ref="BI13:BI19" si="62">BI12+1/2*2^(BK13)*BR13^2</f>
        <v>0.74545198831022597</v>
      </c>
      <c r="BJ13">
        <f t="shared" ref="BJ13:BJ20" si="63">BJ12+1</f>
        <v>2</v>
      </c>
      <c r="BK13">
        <f t="shared" si="22"/>
        <v>2.0616953590748328</v>
      </c>
      <c r="BM13">
        <f>IF(BN13&lt;0,BM12+BN13+(INT(BM12/PI())+1)*PI(),BM12+INT(BM12/PI())*PI()+BN13)</f>
        <v>4.5274092411046993</v>
      </c>
      <c r="BN13">
        <f t="shared" ref="BN13:BN19" si="64">ATAN(BQ13/BP13*TAN(BM12))</f>
        <v>-0.87603801050842256</v>
      </c>
      <c r="BO13">
        <f t="shared" ref="BO13:BO19" si="65">BO12+ATAN(BQ12/BP12*(TAN(BO12)))</f>
        <v>0.26898027159771831</v>
      </c>
      <c r="BP13">
        <f t="shared" ref="BP13:BP19" si="66">1/2*(BP12+BQ12)</f>
        <v>0.54899105500440348</v>
      </c>
      <c r="BQ13">
        <f t="shared" ref="BQ13:BQ19" si="67">SQRT(BP12*BQ12)</f>
        <v>0.54487347011740839</v>
      </c>
      <c r="BR13">
        <f t="shared" ref="BR13:BR19" si="68">1/2*(BP12-BQ12)</f>
        <v>6.7112443235674946E-2</v>
      </c>
      <c r="BS13">
        <f t="shared" si="23"/>
        <v>0</v>
      </c>
      <c r="BW13">
        <f t="shared" ref="BW13:BW20" si="69">BW12+CG13*SIN(CB13)</f>
        <v>0.33635823475414062</v>
      </c>
      <c r="BX13">
        <f t="shared" ref="BX13:BX19" si="70">BX12+1/2*2^(BZ13)*CG13^2</f>
        <v>0.68836471336696659</v>
      </c>
      <c r="BY13">
        <f t="shared" ref="BY13:BY20" si="71">BY12+1</f>
        <v>2</v>
      </c>
      <c r="BZ13">
        <f t="shared" si="24"/>
        <v>1.6817642872479646</v>
      </c>
      <c r="CB13">
        <f>IF(CC13&lt;0,CB12+CC13+(INT(CB12/PI())+1)*PI(),CB12+INT(CB12/PI())*PI()+CC13)</f>
        <v>3.6930942012999548</v>
      </c>
      <c r="CC13">
        <f t="shared" ref="CC13:CC19" si="72">ATAN(CF13/CE13*TAN(CB12))</f>
        <v>-1.2940593801086977</v>
      </c>
      <c r="CD13">
        <f t="shared" ref="CD13:CD19" si="73">CD12+ATAN(CF12/CE12*(TAN(CD12)))</f>
        <v>2.5658160812454969</v>
      </c>
      <c r="CE13">
        <f t="shared" ref="CE13:CE19" si="74">1/2*(CE12+CF12)</f>
        <v>0.54899105500440348</v>
      </c>
      <c r="CF13">
        <f t="shared" ref="CF13:CF19" si="75">SQRT(CE12*CF12)</f>
        <v>0.54487347011740839</v>
      </c>
      <c r="CG13">
        <f t="shared" ref="CG13:CG19" si="76">1/2*(CE12-CF12)</f>
        <v>6.7112443235674946E-2</v>
      </c>
      <c r="CH13">
        <f t="shared" si="25"/>
        <v>0</v>
      </c>
      <c r="CK13" s="17">
        <f t="shared" ref="CK13:CK20" si="77">CK12+CU13*SIN(CP13)</f>
        <v>0.34190040396121024</v>
      </c>
      <c r="CL13" s="18">
        <f t="shared" ref="CL13:CL19" si="78">CL12+1/2*2^(CN13)*CU13^2</f>
        <v>0.66529315854627902</v>
      </c>
      <c r="CM13" s="18">
        <f t="shared" ref="CM13:CM20" si="79">CM12+1</f>
        <v>2</v>
      </c>
      <c r="CN13" s="18">
        <f t="shared" si="26"/>
        <v>1.4983940167088388</v>
      </c>
      <c r="CO13" s="18"/>
      <c r="CP13" s="18">
        <f>IF(CQ13&lt;0,CP12+CQ13+(INT(CP12/PI())+1)*PI(),CP12+INT(CP12/PI())*PI()+CQ13)</f>
        <v>3.2904196481810848</v>
      </c>
      <c r="CQ13" s="18">
        <f t="shared" ref="CQ13:CQ19" si="80">ATAN(CT13/CS13*TAN(CP12))</f>
        <v>-1.4961037510224169</v>
      </c>
      <c r="CR13" s="18">
        <f t="shared" ref="CR13:CR19" si="81">CR12+ATAN(CT12/CS12*(TAN(CR12)))</f>
        <v>2.2211761711871305</v>
      </c>
      <c r="CS13" s="18">
        <f t="shared" ref="CS13:CS19" si="82">1/2*(CS12+CT12)</f>
        <v>0.54899105500440348</v>
      </c>
      <c r="CT13" s="18">
        <f t="shared" ref="CT13:CT19" si="83">SQRT(CS12*CT12)</f>
        <v>0.54487347011740839</v>
      </c>
      <c r="CU13" s="18">
        <f t="shared" ref="CU13:CU19" si="84">1/2*(CS12-CT12)</f>
        <v>6.7112443235674946E-2</v>
      </c>
      <c r="CV13" s="18">
        <f t="shared" si="27"/>
        <v>0</v>
      </c>
      <c r="CW13" s="18"/>
      <c r="CX13" s="19"/>
      <c r="CY13" s="17">
        <f t="shared" ref="CY13:CY20" si="85">CY12+DI13*SIN(DD13)</f>
        <v>0.34281164074460491</v>
      </c>
      <c r="CZ13" s="18">
        <f t="shared" ref="CZ13:CZ19" si="86">CZ12+1/2*2^(DB13)*DI13^2</f>
        <v>0.65489076928135204</v>
      </c>
      <c r="DA13" s="18">
        <f t="shared" ref="DA13:DA20" si="87">DA12+1</f>
        <v>2</v>
      </c>
      <c r="DB13" s="18">
        <f t="shared" si="28"/>
        <v>1.4083674094825192</v>
      </c>
      <c r="DC13" s="18"/>
      <c r="DD13" s="18">
        <f>IF(DE13&lt;0,DD12+DE13+(INT(DD12/PI())+1)*PI(),DD12+INT(DD12/PI())*PI()+DE13)</f>
        <v>3.0927244398625078</v>
      </c>
      <c r="DE13" s="18">
        <f t="shared" ref="DE13:DE19" si="88">ATAN(DH13/DG13*TAN(DD12))</f>
        <v>1.5462702803282344</v>
      </c>
      <c r="DF13" s="18">
        <f t="shared" ref="DF13:DF19" si="89">DF12+ATAN(DH12/DG12*(TAN(DF12)))</f>
        <v>2.0626164618187586</v>
      </c>
      <c r="DG13" s="18">
        <f t="shared" ref="DG13:DG19" si="90">1/2*(DG12+DH12)</f>
        <v>0.54899105500440348</v>
      </c>
      <c r="DH13" s="18">
        <f t="shared" ref="DH13:DH19" si="91">SQRT(DG12*DH12)</f>
        <v>0.54487347011740839</v>
      </c>
      <c r="DI13" s="18">
        <f t="shared" ref="DI13:DI19" si="92">1/2*(DG12-DH12)</f>
        <v>6.7112443235674946E-2</v>
      </c>
      <c r="DJ13" s="18">
        <f t="shared" si="29"/>
        <v>0</v>
      </c>
      <c r="DK13" s="18"/>
      <c r="DL13" s="19"/>
      <c r="DM13" s="17">
        <f t="shared" ref="DM13:DM20" si="93">DM12+DW13*SIN(DR13)</f>
        <v>0.34265970533617846</v>
      </c>
      <c r="DN13" s="18">
        <f t="shared" ref="DN13:DN19" si="94">DN12+1/2*2^(DP13)*DW13^2</f>
        <v>0.64994702206562649</v>
      </c>
      <c r="DO13" s="18">
        <f t="shared" ref="DO13:DO20" si="95">DO12+1</f>
        <v>2</v>
      </c>
      <c r="DP13" s="18">
        <f t="shared" si="30"/>
        <v>1.363760107142872</v>
      </c>
      <c r="DQ13" s="18"/>
      <c r="DR13" s="18">
        <f>IF(DS13&lt;0,DR12+DS13+(INT(DR12/PI())+1)*PI(),DR12+INT(DR12/PI())*PI()+DS13)</f>
        <v>2.9947683999731343</v>
      </c>
      <c r="DS13" s="18">
        <f t="shared" ref="DS13:DS19" si="96">ATAN(DV13/DU13*TAN(DR12))</f>
        <v>1.4971088498129845</v>
      </c>
      <c r="DT13" s="18">
        <f t="shared" ref="DT13:DT19" si="97">DT12+ATAN(DV12/DU12*(TAN(DT12)))</f>
        <v>1.9862499112665479</v>
      </c>
      <c r="DU13" s="18">
        <f t="shared" ref="DU13:DU19" si="98">1/2*(DU12+DV12)</f>
        <v>0.54899105500440348</v>
      </c>
      <c r="DV13" s="18">
        <f t="shared" ref="DV13:DV19" si="99">SQRT(DU12*DV12)</f>
        <v>0.54487347011740839</v>
      </c>
      <c r="DW13" s="18">
        <f t="shared" ref="DW13:DW19" si="100">1/2*(DU12-DV12)</f>
        <v>6.7112443235674946E-2</v>
      </c>
      <c r="DX13" s="18">
        <f t="shared" si="31"/>
        <v>0</v>
      </c>
      <c r="DY13" s="18"/>
      <c r="DZ13" s="19"/>
      <c r="EA13" s="17">
        <f t="shared" ref="EA13:EA20" si="101">EA12+EK13*SIN(EF13)</f>
        <v>0.34241356665910133</v>
      </c>
      <c r="EB13" s="18">
        <f t="shared" ref="EB13:EB19" si="102">EB12+1/2*2^(ED13)*EK13^2</f>
        <v>0.64753649280723025</v>
      </c>
      <c r="EC13" s="18">
        <f t="shared" ref="EC13:EC20" si="103">EC12+1</f>
        <v>2</v>
      </c>
      <c r="ED13" s="18">
        <f t="shared" si="32"/>
        <v>1.3415563686689407</v>
      </c>
      <c r="EE13" s="18"/>
      <c r="EF13" s="18">
        <f>IF(EG13&lt;0,EF12+EG13+(INT(EF12/PI())+1)*PI(),EF12+INT(EF12/PI())*PI()+EG13)</f>
        <v>2.9460097847337527</v>
      </c>
      <c r="EG13" s="18">
        <f t="shared" ref="EG13:EG19" si="104">ATAN(EJ13/EI13*TAN(EF12))</f>
        <v>1.4726391228408198</v>
      </c>
      <c r="EH13" s="18">
        <f t="shared" ref="EH13:EH19" si="105">EH12+ATAN(EJ12/EI12*(TAN(EH12)))</f>
        <v>1.948737839792976</v>
      </c>
      <c r="EI13" s="18">
        <f t="shared" ref="EI13:EI19" si="106">1/2*(EI12+EJ12)</f>
        <v>0.54899105500440348</v>
      </c>
      <c r="EJ13" s="18">
        <f t="shared" ref="EJ13:EJ19" si="107">SQRT(EI12*EJ12)</f>
        <v>0.54487347011740839</v>
      </c>
      <c r="EK13" s="18">
        <f t="shared" ref="EK13:EK19" si="108">1/2*(EI12-EJ12)</f>
        <v>6.7112443235674946E-2</v>
      </c>
      <c r="EL13" s="18">
        <f t="shared" si="33"/>
        <v>0</v>
      </c>
      <c r="EM13" s="18"/>
      <c r="EN13" s="19"/>
      <c r="EO13" s="17">
        <f t="shared" ref="EO13:EO20" si="109">EO12+EY13*SIN(ET13)</f>
        <v>0.34224571740565118</v>
      </c>
      <c r="EP13" s="18">
        <f t="shared" ref="EP13:EP19" si="110">EP12+1/2*2^(ER13)*EY13^2</f>
        <v>0.64634620066816817</v>
      </c>
      <c r="EQ13" s="18">
        <f t="shared" ref="EQ13:EQ20" si="111">EQ12+1</f>
        <v>2</v>
      </c>
      <c r="ER13" s="18">
        <f t="shared" si="34"/>
        <v>1.3304792506724421</v>
      </c>
      <c r="ES13" s="18"/>
      <c r="ET13" s="18">
        <f>IF(EU13&lt;0,ET12+EU13+(INT(ET12/PI())+1)*PI(),ET12+INT(ET12/PI())*PI()+EU13)</f>
        <v>2.9216848299525289</v>
      </c>
      <c r="EU13" s="18">
        <f t="shared" ref="EU13:EU19" si="112">ATAN(EX13/EW13*TAN(ET12))</f>
        <v>1.4604318482751946</v>
      </c>
      <c r="EV13" s="18">
        <f t="shared" ref="EV13:EV19" si="113">EV12+ATAN(EX12/EW12*(TAN(EV12)))</f>
        <v>1.9301429421365091</v>
      </c>
      <c r="EW13" s="18">
        <f t="shared" ref="EW13:EW19" si="114">1/2*(EW12+EX12)</f>
        <v>0.54899105500440348</v>
      </c>
      <c r="EX13" s="18">
        <f t="shared" ref="EX13:EX19" si="115">SQRT(EW12*EX12)</f>
        <v>0.54487347011740839</v>
      </c>
      <c r="EY13" s="18">
        <f t="shared" ref="EY13:EY19" si="116">1/2*(EW12-EX12)</f>
        <v>6.7112443235674946E-2</v>
      </c>
      <c r="EZ13" s="18">
        <f t="shared" si="35"/>
        <v>0</v>
      </c>
      <c r="FA13" s="18"/>
      <c r="FB13" s="19"/>
      <c r="FC13" s="17">
        <f t="shared" ref="FC13:FC20" si="117">FC12+FM13*SIN(FH13)</f>
        <v>0.34215032310173771</v>
      </c>
      <c r="FD13" s="18">
        <f t="shared" ref="FD13:FD19" si="118">FD12+1/2*2^(FF13)*FM13^2</f>
        <v>0.64575475311216401</v>
      </c>
      <c r="FE13" s="18">
        <f t="shared" ref="FE13:FE20" si="119">FE12+1</f>
        <v>2</v>
      </c>
      <c r="FF13" s="18">
        <f t="shared" si="36"/>
        <v>1.324946849438301</v>
      </c>
      <c r="FG13" s="18"/>
      <c r="FH13" s="18">
        <f>IF(FI13&lt;0,FH12+FI13+(INT(FH12/PI())+1)*PI(),FH12+INT(FH12/PI())*PI()+FI13)</f>
        <v>2.9095358747915734</v>
      </c>
      <c r="FI13" s="18">
        <f t="shared" ref="FI13:FI19" si="120">ATAN(FL13/FK13*TAN(FH12))</f>
        <v>1.4543350863188607</v>
      </c>
      <c r="FJ13" s="18">
        <f t="shared" ref="FJ13:FJ19" si="121">FJ12+ATAN(FL12/FK12*(TAN(FJ12)))</f>
        <v>1.920884972906391</v>
      </c>
      <c r="FK13" s="18">
        <f t="shared" ref="FK13:FK19" si="122">1/2*(FK12+FL12)</f>
        <v>0.54899105500440348</v>
      </c>
      <c r="FL13" s="18">
        <f t="shared" ref="FL13:FL19" si="123">SQRT(FK12*FL12)</f>
        <v>0.54487347011740839</v>
      </c>
      <c r="FM13" s="18">
        <f t="shared" ref="FM13:FM19" si="124">1/2*(FK12-FL12)</f>
        <v>6.7112443235674946E-2</v>
      </c>
      <c r="FN13" s="18">
        <f t="shared" si="37"/>
        <v>0</v>
      </c>
      <c r="FO13" s="18"/>
      <c r="FP13" s="19"/>
      <c r="FQ13" s="17">
        <f t="shared" ref="FQ13:FQ20" si="125">FQ12+GA13*SIN(FV13)</f>
        <v>0.34209972455666204</v>
      </c>
      <c r="FR13" s="18">
        <f t="shared" ref="FR13:FR19" si="126">FR12+1/2*2^(FT13)*GA13^2</f>
        <v>0.6454599484386323</v>
      </c>
      <c r="FS13" s="18">
        <f t="shared" ref="FS13:FS20" si="127">FS12+1</f>
        <v>2</v>
      </c>
      <c r="FT13" s="18">
        <f t="shared" si="38"/>
        <v>1.3221821844046344</v>
      </c>
      <c r="FU13" s="18"/>
      <c r="FV13" s="18">
        <f>IF(FW13&lt;0,FV12+FW13+(INT(FV12/PI())+1)*PI(),FV12+INT(FV12/PI())*PI()+FW13)</f>
        <v>2.9034647692973081</v>
      </c>
      <c r="FW13" s="18">
        <f t="shared" ref="FW13:FW19" si="128">ATAN(FZ13/FY13*TAN(FV12))</f>
        <v>1.4512884213034265</v>
      </c>
      <c r="FX13" s="18">
        <f t="shared" ref="FX13:FX19" si="129">FX12+ATAN(FZ12/FY12*(TAN(FX12)))</f>
        <v>1.9162657592653531</v>
      </c>
      <c r="FY13" s="18">
        <f t="shared" ref="FY13:FY19" si="130">1/2*(FY12+FZ12)</f>
        <v>0.54899105500440348</v>
      </c>
      <c r="FZ13" s="18">
        <f t="shared" ref="FZ13:FZ19" si="131">SQRT(FY12*FZ12)</f>
        <v>0.54487347011740839</v>
      </c>
      <c r="GA13" s="18">
        <f t="shared" ref="GA13:GA19" si="132">1/2*(FY12-FZ12)</f>
        <v>6.7112443235674946E-2</v>
      </c>
      <c r="GB13" s="18">
        <f t="shared" si="39"/>
        <v>0</v>
      </c>
      <c r="GC13" s="18"/>
      <c r="GD13" s="19"/>
      <c r="GE13" s="17">
        <f t="shared" ref="GE13:GE20" si="133">GE12+GO13*SIN(GJ13)</f>
        <v>0.34204717888631841</v>
      </c>
      <c r="GF13" s="18">
        <f t="shared" ref="GF13:GF19" si="134">GF12+1/2*2^(GH13)*GO13^2</f>
        <v>0.64516575440763857</v>
      </c>
      <c r="GG13" s="18">
        <f t="shared" ref="GG13:GG20" si="135">GG12+1</f>
        <v>2</v>
      </c>
      <c r="GH13" s="18">
        <f t="shared" si="40"/>
        <v>1.3194185416032889</v>
      </c>
      <c r="GI13" s="18"/>
      <c r="GJ13" s="18">
        <f>IF(GK13&lt;0,GJ12+GK13+(INT(GJ12/PI())+1)*PI(),GJ12+INT(GJ12/PI())*PI()+GK13)</f>
        <v>2.8973959085886438</v>
      </c>
      <c r="GK13" s="18">
        <f t="shared" ref="GK13:GK19" si="136">ATAN(GN13/GM13*TAN(GJ12))</f>
        <v>1.4482428991438976</v>
      </c>
      <c r="GL13" s="18">
        <f t="shared" ref="GL13:GL19" si="137">GL12+ATAN(GN12/GM12*(TAN(GL12)))</f>
        <v>1.9116530222586539</v>
      </c>
      <c r="GM13" s="18">
        <f t="shared" ref="GM13:GM19" si="138">1/2*(GM12+GN12)</f>
        <v>0.54899105500440348</v>
      </c>
      <c r="GN13" s="18">
        <f t="shared" ref="GN13:GN19" si="139">SQRT(GM12*GN12)</f>
        <v>0.54487347011740839</v>
      </c>
      <c r="GO13" s="18">
        <f t="shared" ref="GO13:GO19" si="140">1/2*(GM12-GN12)</f>
        <v>6.7112443235674946E-2</v>
      </c>
      <c r="GP13" s="18">
        <f t="shared" si="41"/>
        <v>0</v>
      </c>
      <c r="GQ13" s="18"/>
      <c r="GR13" s="19"/>
      <c r="GS13" s="17">
        <f t="shared" ref="GS13:GS20" si="141">GS12+HC13*SIN(GX13)</f>
        <v>0.34193620776581091</v>
      </c>
      <c r="GT13" s="18">
        <f t="shared" ref="GT13:GT19" si="142">GT12+1/2*2^(GV13)*HC13^2</f>
        <v>0.64457919201567315</v>
      </c>
      <c r="GU13" s="18">
        <f t="shared" ref="GU13:GU20" si="143">GU12+1</f>
        <v>2</v>
      </c>
      <c r="GV13" s="18">
        <f t="shared" si="42"/>
        <v>1.3138943181823111</v>
      </c>
      <c r="GW13" s="18"/>
      <c r="GX13" s="18">
        <f>IF(GY13&lt;0,GX12+GY13+(INT(GX12/PI())+1)*PI(),GX12+INT(GX12/PI())*PI()+GY13)</f>
        <v>2.8852649116127935</v>
      </c>
      <c r="GY13" s="18">
        <f t="shared" ref="GY13:GY19" si="144">ATAN(HB13/HA13*TAN(GX12))</f>
        <v>1.4421552799759125</v>
      </c>
      <c r="GZ13" s="18">
        <f t="shared" ref="GZ13:GZ19" si="145">GZ12+ATAN(HB12/HA12*(TAN(GZ12)))</f>
        <v>1.902446866854802</v>
      </c>
      <c r="HA13" s="18">
        <f t="shared" ref="HA13:HA19" si="146">1/2*(HA12+HB12)</f>
        <v>0.54899105500440348</v>
      </c>
      <c r="HB13" s="18">
        <f t="shared" ref="HB13:HB19" si="147">SQRT(HA12*HB12)</f>
        <v>0.54487347011740839</v>
      </c>
      <c r="HC13" s="18">
        <f t="shared" ref="HC13:HC19" si="148">1/2*(HA12-HB12)</f>
        <v>6.7112443235674946E-2</v>
      </c>
      <c r="HD13" s="18">
        <f t="shared" si="43"/>
        <v>0</v>
      </c>
      <c r="HE13" s="18"/>
      <c r="HF13" s="19"/>
    </row>
    <row r="14" spans="1:217">
      <c r="A14">
        <f t="shared" si="8"/>
        <v>8</v>
      </c>
      <c r="B14">
        <f t="shared" si="9"/>
        <v>0.87580797410537148</v>
      </c>
      <c r="C14">
        <f t="shared" si="10"/>
        <v>0.87580797410537148</v>
      </c>
      <c r="D14">
        <f t="shared" si="11"/>
        <v>0</v>
      </c>
      <c r="E14">
        <f t="shared" si="5"/>
        <v>363.22088978181171</v>
      </c>
      <c r="F14">
        <f t="shared" si="14"/>
        <v>1</v>
      </c>
      <c r="G14" t="str">
        <f t="shared" si="12"/>
        <v/>
      </c>
      <c r="H14">
        <f t="shared" si="13"/>
        <v>22.701305611363232</v>
      </c>
      <c r="M14">
        <f t="shared" si="15"/>
        <v>2.8720125586300993</v>
      </c>
      <c r="N14">
        <f t="shared" si="44"/>
        <v>0.34092638743238785</v>
      </c>
      <c r="O14">
        <f t="shared" si="45"/>
        <v>0.62944159403576261</v>
      </c>
      <c r="P14">
        <f t="shared" si="46"/>
        <v>3</v>
      </c>
      <c r="Q14">
        <f t="shared" si="18"/>
        <v>1.3188405484021084</v>
      </c>
      <c r="R14">
        <f t="shared" si="47"/>
        <v>0.61755138813446964</v>
      </c>
      <c r="S14">
        <f t="shared" ref="S14:S19" si="149">IF(T14&lt;0,S13+T14+(INT(S13/PI())+1)*PI(),S13+INT(S13/PI())*PI()+T14)</f>
        <v>5.7705315607570489</v>
      </c>
      <c r="T14">
        <f t="shared" si="48"/>
        <v>-0.25632600444553699</v>
      </c>
      <c r="U14">
        <f t="shared" si="49"/>
        <v>0.6656257030456898</v>
      </c>
      <c r="V14">
        <f t="shared" si="50"/>
        <v>0.54693226256090588</v>
      </c>
      <c r="W14">
        <f t="shared" si="51"/>
        <v>0.54692838763741847</v>
      </c>
      <c r="X14">
        <f t="shared" si="52"/>
        <v>2.058792443497548E-3</v>
      </c>
      <c r="Y14">
        <f t="shared" si="19"/>
        <v>0</v>
      </c>
      <c r="AK14">
        <f t="shared" si="16"/>
        <v>2.8720125586300993</v>
      </c>
      <c r="AL14">
        <f t="shared" si="53"/>
        <v>0.34108118042505203</v>
      </c>
      <c r="AM14">
        <f t="shared" si="54"/>
        <v>0.64517106172321215</v>
      </c>
      <c r="AN14">
        <f t="shared" si="55"/>
        <v>3</v>
      </c>
      <c r="AO14">
        <f t="shared" si="20"/>
        <v>1.3243855491753043</v>
      </c>
      <c r="AQ14">
        <f t="shared" ref="AQ14:AQ19" si="150">IF(AR14&lt;0,AQ13+AR14+(INT(AQ13/PI())+1)*PI(),AQ13+INT(AQ13/PI())*PI()+AR14)</f>
        <v>5.7947934793073363</v>
      </c>
      <c r="AR14">
        <f t="shared" si="56"/>
        <v>-0.24419508287110045</v>
      </c>
      <c r="AS14">
        <f t="shared" si="57"/>
        <v>0.68409228858824767</v>
      </c>
      <c r="AT14">
        <f t="shared" si="58"/>
        <v>0.54693226256090588</v>
      </c>
      <c r="AU14">
        <f t="shared" si="59"/>
        <v>0.54692838763741847</v>
      </c>
      <c r="AV14">
        <f t="shared" si="60"/>
        <v>2.058792443497548E-3</v>
      </c>
      <c r="AW14">
        <f t="shared" si="21"/>
        <v>0</v>
      </c>
      <c r="AZ14" t="s">
        <v>76</v>
      </c>
      <c r="BG14">
        <f t="shared" si="17"/>
        <v>2.8720125586300993</v>
      </c>
      <c r="BH14">
        <f t="shared" si="61"/>
        <v>0.31599279601021368</v>
      </c>
      <c r="BI14">
        <f t="shared" si="62"/>
        <v>0.74546088366778906</v>
      </c>
      <c r="BJ14">
        <f t="shared" si="63"/>
        <v>3</v>
      </c>
      <c r="BK14">
        <f t="shared" si="22"/>
        <v>2.0694558131715941</v>
      </c>
      <c r="BM14">
        <f t="shared" ref="BM14:BM19" si="151">IF(BN14&lt;0,BM13+BN14+(INT(BM13/PI())+1)*PI(),BM13+INT(BM13/PI())*PI()+BN14)</f>
        <v>9.0548172013420736</v>
      </c>
      <c r="BN14">
        <f t="shared" si="64"/>
        <v>1.3858153066475807</v>
      </c>
      <c r="BO14">
        <f t="shared" si="65"/>
        <v>0.5360380100629123</v>
      </c>
      <c r="BP14">
        <f t="shared" si="66"/>
        <v>0.54693226256090588</v>
      </c>
      <c r="BQ14">
        <f t="shared" si="67"/>
        <v>0.54692838763741847</v>
      </c>
      <c r="BR14">
        <f t="shared" si="68"/>
        <v>2.058792443497548E-3</v>
      </c>
      <c r="BS14">
        <f t="shared" si="23"/>
        <v>0</v>
      </c>
      <c r="BW14">
        <f t="shared" si="69"/>
        <v>0.33819583899091521</v>
      </c>
      <c r="BX14">
        <f t="shared" si="70"/>
        <v>0.6883715424455672</v>
      </c>
      <c r="BY14">
        <f t="shared" si="71"/>
        <v>3</v>
      </c>
      <c r="BZ14">
        <f t="shared" si="24"/>
        <v>1.6880941540572818</v>
      </c>
      <c r="CB14">
        <f t="shared" ref="CB14:CB19" si="152">IF(CC14&lt;0,CB13+CC14+(INT(CB13/PI())+1)*PI(),CB13+INT(CB13/PI())*PI()+CC14)</f>
        <v>7.3861852407551005</v>
      </c>
      <c r="CC14">
        <f t="shared" si="72"/>
        <v>0.55149838586535271</v>
      </c>
      <c r="CD14">
        <f t="shared" si="73"/>
        <v>1.9934724951602083</v>
      </c>
      <c r="CE14">
        <f t="shared" si="74"/>
        <v>0.54693226256090588</v>
      </c>
      <c r="CF14">
        <f t="shared" si="75"/>
        <v>0.54692838763741847</v>
      </c>
      <c r="CG14">
        <f t="shared" si="76"/>
        <v>2.058792443497548E-3</v>
      </c>
      <c r="CH14">
        <f t="shared" si="25"/>
        <v>0</v>
      </c>
      <c r="CK14" s="17">
        <f t="shared" si="77"/>
        <v>0.34250420078783034</v>
      </c>
      <c r="CL14" s="18">
        <f t="shared" si="78"/>
        <v>0.66529916965411395</v>
      </c>
      <c r="CM14" s="18">
        <f t="shared" si="79"/>
        <v>3</v>
      </c>
      <c r="CN14" s="18">
        <f t="shared" si="26"/>
        <v>1.5040341162713513</v>
      </c>
      <c r="CO14" s="18"/>
      <c r="CP14" s="18">
        <f t="shared" ref="CP14:CP19" si="153">IF(CQ14&lt;0,CP13+CQ14+(INT(CP13/PI())+1)*PI(),CP13+INT(CP13/PI())*PI()+CQ14)</f>
        <v>6.5808382574486624</v>
      </c>
      <c r="CQ14" s="18">
        <f t="shared" si="80"/>
        <v>0.1488259556777847</v>
      </c>
      <c r="CR14" s="18">
        <f t="shared" si="81"/>
        <v>1.3043911620027999</v>
      </c>
      <c r="CS14" s="18">
        <f t="shared" si="82"/>
        <v>0.54693226256090588</v>
      </c>
      <c r="CT14" s="18">
        <f t="shared" si="83"/>
        <v>0.54692838763741847</v>
      </c>
      <c r="CU14" s="18">
        <f t="shared" si="84"/>
        <v>2.058792443497548E-3</v>
      </c>
      <c r="CV14" s="18">
        <f t="shared" si="27"/>
        <v>0</v>
      </c>
      <c r="CW14" s="18"/>
      <c r="CX14" s="19"/>
      <c r="CY14" s="17">
        <f t="shared" si="85"/>
        <v>0.34261074263600688</v>
      </c>
      <c r="CZ14" s="18">
        <f t="shared" si="86"/>
        <v>0.65489641542458255</v>
      </c>
      <c r="DA14" s="18">
        <f t="shared" si="87"/>
        <v>3</v>
      </c>
      <c r="DB14" s="18">
        <f t="shared" si="28"/>
        <v>1.4136689423921984</v>
      </c>
      <c r="DC14" s="18"/>
      <c r="DD14" s="18">
        <f t="shared" ref="DD14:DD19" si="154">IF(DE14&lt;0,DD13+DE14+(INT(DD13/PI())+1)*PI(),DD13+INT(DD13/PI())*PI()+DE14)</f>
        <v>6.1854492253971838</v>
      </c>
      <c r="DE14" s="18">
        <f t="shared" si="88"/>
        <v>-4.8867868055116746E-2</v>
      </c>
      <c r="DF14" s="18">
        <f t="shared" si="89"/>
        <v>0.98678062446441883</v>
      </c>
      <c r="DG14" s="18">
        <f t="shared" si="90"/>
        <v>0.54693226256090588</v>
      </c>
      <c r="DH14" s="18">
        <f t="shared" si="91"/>
        <v>0.54692838763741847</v>
      </c>
      <c r="DI14" s="18">
        <f t="shared" si="92"/>
        <v>2.058792443497548E-3</v>
      </c>
      <c r="DJ14" s="18">
        <f t="shared" si="29"/>
        <v>0</v>
      </c>
      <c r="DK14" s="18"/>
      <c r="DL14" s="19"/>
      <c r="DM14" s="17">
        <f t="shared" si="93"/>
        <v>0.34206379714368224</v>
      </c>
      <c r="DN14" s="18">
        <f t="shared" si="94"/>
        <v>0.6499524956681223</v>
      </c>
      <c r="DO14" s="18">
        <f t="shared" si="95"/>
        <v>3</v>
      </c>
      <c r="DP14" s="18">
        <f t="shared" si="30"/>
        <v>1.3688938821330119</v>
      </c>
      <c r="DQ14" s="18"/>
      <c r="DR14" s="18">
        <f t="shared" ref="DR14:DR19" si="155">IF(DS14&lt;0,DR13+DS14+(INT(DR13/PI())+1)*PI(),DR13+INT(DR13/PI())*PI()+DS14)</f>
        <v>5.9895378252863214</v>
      </c>
      <c r="DS14" s="18">
        <f t="shared" si="96"/>
        <v>-0.14682322827660629</v>
      </c>
      <c r="DT14" s="18">
        <f t="shared" si="97"/>
        <v>0.83369430036372494</v>
      </c>
      <c r="DU14" s="18">
        <f t="shared" si="98"/>
        <v>0.54693226256090588</v>
      </c>
      <c r="DV14" s="18">
        <f t="shared" si="99"/>
        <v>0.54692838763741847</v>
      </c>
      <c r="DW14" s="18">
        <f t="shared" si="100"/>
        <v>2.058792443497548E-3</v>
      </c>
      <c r="DX14" s="18">
        <f t="shared" si="31"/>
        <v>0</v>
      </c>
      <c r="DY14" s="18"/>
      <c r="DZ14" s="19"/>
      <c r="EA14" s="17">
        <f t="shared" si="101"/>
        <v>0.34162862093303198</v>
      </c>
      <c r="EB14" s="18">
        <f t="shared" si="102"/>
        <v>0.64754188250143996</v>
      </c>
      <c r="EC14" s="18">
        <f t="shared" si="103"/>
        <v>3</v>
      </c>
      <c r="ED14" s="18">
        <f t="shared" si="32"/>
        <v>1.3466066374663457</v>
      </c>
      <c r="EE14" s="18"/>
      <c r="EF14" s="18">
        <f t="shared" ref="EF14:EF19" si="156">IF(EG14&lt;0,EF13+EG14+(INT(EF13/PI())+1)*PI(),EF13+INT(EF13/PI())*PI()+EG14)</f>
        <v>5.8920209200720155</v>
      </c>
      <c r="EG14" s="18">
        <f t="shared" si="104"/>
        <v>-0.19558151825153081</v>
      </c>
      <c r="EH14" s="18">
        <f t="shared" si="105"/>
        <v>0.75847213304643124</v>
      </c>
      <c r="EI14" s="18">
        <f t="shared" si="106"/>
        <v>0.54693226256090588</v>
      </c>
      <c r="EJ14" s="18">
        <f t="shared" si="107"/>
        <v>0.54692838763741847</v>
      </c>
      <c r="EK14" s="18">
        <f t="shared" si="108"/>
        <v>2.058792443497548E-3</v>
      </c>
      <c r="EL14" s="18">
        <f t="shared" si="33"/>
        <v>0</v>
      </c>
      <c r="EM14" s="18"/>
      <c r="EN14" s="19"/>
      <c r="EO14" s="17">
        <f t="shared" si="109"/>
        <v>0.34136914267123192</v>
      </c>
      <c r="EP14" s="18">
        <f t="shared" si="110"/>
        <v>0.64635154898392777</v>
      </c>
      <c r="EQ14" s="18">
        <f t="shared" si="111"/>
        <v>3</v>
      </c>
      <c r="ER14" s="18">
        <f t="shared" si="34"/>
        <v>1.3354878584070697</v>
      </c>
      <c r="ES14" s="18"/>
      <c r="ET14" s="18">
        <f t="shared" ref="ET14:ET19" si="157">IF(EU14&lt;0,ET13+EU14+(INT(ET13/PI())+1)*PI(),ET13+INT(ET13/PI())*PI()+EU14)</f>
        <v>5.843371168169579</v>
      </c>
      <c r="EU14" s="18">
        <f t="shared" si="112"/>
        <v>-0.21990631537274358</v>
      </c>
      <c r="EV14" s="18">
        <f t="shared" si="113"/>
        <v>0.72117865908420842</v>
      </c>
      <c r="EW14" s="18">
        <f t="shared" si="114"/>
        <v>0.54693226256090588</v>
      </c>
      <c r="EX14" s="18">
        <f t="shared" si="115"/>
        <v>0.54692838763741847</v>
      </c>
      <c r="EY14" s="18">
        <f t="shared" si="116"/>
        <v>2.058792443497548E-3</v>
      </c>
      <c r="EZ14" s="18">
        <f t="shared" si="35"/>
        <v>0</v>
      </c>
      <c r="FA14" s="18"/>
      <c r="FB14" s="19"/>
      <c r="FC14" s="17">
        <f t="shared" si="117"/>
        <v>0.34122874813359683</v>
      </c>
      <c r="FD14" s="18">
        <f t="shared" si="118"/>
        <v>0.6457600808808045</v>
      </c>
      <c r="FE14" s="18">
        <f t="shared" si="119"/>
        <v>3</v>
      </c>
      <c r="FF14" s="18">
        <f t="shared" si="36"/>
        <v>1.3299346495007243</v>
      </c>
      <c r="FG14" s="18"/>
      <c r="FH14" s="18">
        <f t="shared" ref="FH14:FH19" si="158">IF(FI14&lt;0,FH13+FI14+(INT(FH13/PI())+1)*PI(),FH13+INT(FH13/PI())*PI()+FI14)</f>
        <v>5.8190733352766113</v>
      </c>
      <c r="FI14" s="18">
        <f t="shared" si="120"/>
        <v>-0.23205519310475517</v>
      </c>
      <c r="FJ14" s="18">
        <f t="shared" si="121"/>
        <v>0.70260979970636184</v>
      </c>
      <c r="FK14" s="18">
        <f t="shared" si="122"/>
        <v>0.54693226256090588</v>
      </c>
      <c r="FL14" s="18">
        <f t="shared" si="123"/>
        <v>0.54692838763741847</v>
      </c>
      <c r="FM14" s="18">
        <f t="shared" si="124"/>
        <v>2.058792443497548E-3</v>
      </c>
      <c r="FN14" s="18">
        <f t="shared" si="37"/>
        <v>0</v>
      </c>
      <c r="FO14" s="18"/>
      <c r="FP14" s="19"/>
      <c r="FQ14" s="17">
        <f t="shared" si="125"/>
        <v>0.34115586418403321</v>
      </c>
      <c r="FR14" s="18">
        <f t="shared" si="126"/>
        <v>0.64546526596901477</v>
      </c>
      <c r="FS14" s="18">
        <f t="shared" si="127"/>
        <v>3</v>
      </c>
      <c r="FT14" s="18">
        <f t="shared" si="38"/>
        <v>1.3271595863268479</v>
      </c>
      <c r="FU14" s="18"/>
      <c r="FV14" s="18">
        <f t="shared" ref="FV14:FV19" si="159">IF(FW14&lt;0,FV13+FW14+(INT(FV13/PI())+1)*PI(),FV13+INT(FV13/PI())*PI()+FW14)</f>
        <v>5.806931162633111</v>
      </c>
      <c r="FW14" s="18">
        <f t="shared" si="128"/>
        <v>-0.23812626025398992</v>
      </c>
      <c r="FX14" s="18">
        <f t="shared" si="129"/>
        <v>0.6933446521240918</v>
      </c>
      <c r="FY14" s="18">
        <f t="shared" si="130"/>
        <v>0.54693226256090588</v>
      </c>
      <c r="FZ14" s="18">
        <f t="shared" si="131"/>
        <v>0.54692838763741847</v>
      </c>
      <c r="GA14" s="18">
        <f t="shared" si="132"/>
        <v>2.058792443497548E-3</v>
      </c>
      <c r="GB14" s="18">
        <f t="shared" si="39"/>
        <v>0</v>
      </c>
      <c r="GC14" s="18"/>
      <c r="GD14" s="19"/>
      <c r="GE14" s="17">
        <f t="shared" si="133"/>
        <v>0.34108118042505203</v>
      </c>
      <c r="GF14" s="18">
        <f t="shared" si="134"/>
        <v>0.64517106172321215</v>
      </c>
      <c r="GG14" s="18">
        <f t="shared" si="135"/>
        <v>3</v>
      </c>
      <c r="GH14" s="18">
        <f t="shared" si="40"/>
        <v>1.3243855491753043</v>
      </c>
      <c r="GI14" s="18"/>
      <c r="GJ14" s="18">
        <f t="shared" ref="GJ14:GJ19" si="160">IF(GK14&lt;0,GJ13+GK14+(INT(GJ13/PI())+1)*PI(),GJ13+INT(GJ13/PI())*PI()+GK14)</f>
        <v>5.7947934793073363</v>
      </c>
      <c r="GK14" s="18">
        <f t="shared" si="136"/>
        <v>-0.24419508287110045</v>
      </c>
      <c r="GL14" s="18">
        <f t="shared" si="137"/>
        <v>0.68409228858824767</v>
      </c>
      <c r="GM14" s="18">
        <f t="shared" si="138"/>
        <v>0.54693226256090588</v>
      </c>
      <c r="GN14" s="18">
        <f t="shared" si="139"/>
        <v>0.54692838763741847</v>
      </c>
      <c r="GO14" s="18">
        <f t="shared" si="140"/>
        <v>2.058792443497548E-3</v>
      </c>
      <c r="GP14" s="18">
        <f t="shared" si="41"/>
        <v>0</v>
      </c>
      <c r="GQ14" s="18"/>
      <c r="GR14" s="19"/>
      <c r="GS14" s="17">
        <f t="shared" si="141"/>
        <v>0.34092638743238785</v>
      </c>
      <c r="GT14" s="18">
        <f t="shared" si="142"/>
        <v>0.64458447897172155</v>
      </c>
      <c r="GU14" s="18">
        <f t="shared" si="143"/>
        <v>3</v>
      </c>
      <c r="GV14" s="18">
        <f t="shared" si="42"/>
        <v>1.3188405484021088</v>
      </c>
      <c r="GW14" s="18"/>
      <c r="GX14" s="18">
        <f t="shared" ref="GX14:GX19" si="161">IF(GY14&lt;0,GX13+GY14+(INT(GX13/PI())+1)*PI(),GX13+INT(GX13/PI())*PI()+GY14)</f>
        <v>5.7705315607570506</v>
      </c>
      <c r="GY14" s="18">
        <f t="shared" si="144"/>
        <v>-0.25632600444553605</v>
      </c>
      <c r="GZ14" s="18">
        <f t="shared" si="145"/>
        <v>0.66562570304569157</v>
      </c>
      <c r="HA14" s="18">
        <f t="shared" si="146"/>
        <v>0.54693226256090588</v>
      </c>
      <c r="HB14" s="18">
        <f t="shared" si="147"/>
        <v>0.54692838763741847</v>
      </c>
      <c r="HC14" s="18">
        <f t="shared" si="148"/>
        <v>2.058792443497548E-3</v>
      </c>
      <c r="HD14" s="18">
        <f t="shared" si="43"/>
        <v>0</v>
      </c>
      <c r="HE14" s="18"/>
      <c r="HF14" s="19"/>
    </row>
    <row r="15" spans="1:217">
      <c r="A15">
        <f t="shared" si="8"/>
        <v>9</v>
      </c>
      <c r="B15">
        <f t="shared" si="9"/>
        <v>0.87580797410537148</v>
      </c>
      <c r="C15">
        <f t="shared" si="10"/>
        <v>0.87580797410537148</v>
      </c>
      <c r="D15">
        <f t="shared" si="11"/>
        <v>0</v>
      </c>
      <c r="E15">
        <f t="shared" si="5"/>
        <v>726.44177956362341</v>
      </c>
      <c r="F15">
        <f t="shared" si="14"/>
        <v>1</v>
      </c>
      <c r="G15" t="str">
        <f t="shared" si="12"/>
        <v/>
      </c>
      <c r="H15">
        <f t="shared" si="13"/>
        <v>22.701305611363232</v>
      </c>
      <c r="M15">
        <f t="shared" si="15"/>
        <v>2.8720227325301453</v>
      </c>
      <c r="N15">
        <f t="shared" si="44"/>
        <v>0.34092473114716615</v>
      </c>
      <c r="O15">
        <f t="shared" si="45"/>
        <v>0.6294415940657927</v>
      </c>
      <c r="P15">
        <f t="shared" si="46"/>
        <v>4</v>
      </c>
      <c r="Q15">
        <f t="shared" si="18"/>
        <v>1.3188452203011765</v>
      </c>
      <c r="R15">
        <f t="shared" si="47"/>
        <v>0.9714452313268892</v>
      </c>
      <c r="S15">
        <f t="shared" si="149"/>
        <v>11.541063121516778</v>
      </c>
      <c r="T15">
        <f t="shared" si="48"/>
        <v>-0.51265374641985573</v>
      </c>
      <c r="U15">
        <f t="shared" si="49"/>
        <v>1.3312479648157995</v>
      </c>
      <c r="V15">
        <f t="shared" si="50"/>
        <v>0.54693032509916217</v>
      </c>
      <c r="W15">
        <f t="shared" si="51"/>
        <v>0.54693032509573047</v>
      </c>
      <c r="X15">
        <f t="shared" si="52"/>
        <v>1.9374617437062369E-6</v>
      </c>
      <c r="Y15">
        <f t="shared" si="19"/>
        <v>0</v>
      </c>
      <c r="AK15">
        <f t="shared" si="16"/>
        <v>2.8720227325301453</v>
      </c>
      <c r="AL15">
        <f t="shared" si="53"/>
        <v>0.34107957484759571</v>
      </c>
      <c r="AM15">
        <f t="shared" si="54"/>
        <v>0.64517106172791239</v>
      </c>
      <c r="AN15">
        <f t="shared" si="55"/>
        <v>4</v>
      </c>
      <c r="AO15">
        <f t="shared" si="20"/>
        <v>1.3243902407171335</v>
      </c>
      <c r="AQ15">
        <f t="shared" si="150"/>
        <v>11.589586958617272</v>
      </c>
      <c r="AR15">
        <f t="shared" si="56"/>
        <v>-0.48839182786965035</v>
      </c>
      <c r="AS15">
        <f t="shared" si="57"/>
        <v>1.3681811072127976</v>
      </c>
      <c r="AT15">
        <f t="shared" si="58"/>
        <v>0.54693032509916217</v>
      </c>
      <c r="AU15">
        <f t="shared" si="59"/>
        <v>0.54693032509573047</v>
      </c>
      <c r="AV15">
        <f t="shared" si="60"/>
        <v>1.9374617437062369E-6</v>
      </c>
      <c r="AW15">
        <f t="shared" si="21"/>
        <v>0</v>
      </c>
      <c r="AZ15" t="s">
        <v>41</v>
      </c>
      <c r="BG15">
        <f t="shared" si="17"/>
        <v>2.8720227325301453</v>
      </c>
      <c r="BH15">
        <f t="shared" si="61"/>
        <v>0.31599148971547192</v>
      </c>
      <c r="BI15">
        <f t="shared" si="62"/>
        <v>0.74546088367566687</v>
      </c>
      <c r="BJ15">
        <f t="shared" si="63"/>
        <v>4</v>
      </c>
      <c r="BK15">
        <f t="shared" si="22"/>
        <v>2.0694631440717406</v>
      </c>
      <c r="BM15">
        <f t="shared" si="151"/>
        <v>18.109634402686261</v>
      </c>
      <c r="BN15">
        <f t="shared" si="64"/>
        <v>-0.36996075942519091</v>
      </c>
      <c r="BO15">
        <f t="shared" si="65"/>
        <v>1.0720729091865437</v>
      </c>
      <c r="BP15">
        <f t="shared" si="66"/>
        <v>0.54693032509916217</v>
      </c>
      <c r="BQ15">
        <f t="shared" si="67"/>
        <v>0.54693032509573047</v>
      </c>
      <c r="BR15">
        <f t="shared" si="68"/>
        <v>1.9374617437062369E-6</v>
      </c>
      <c r="BS15">
        <f t="shared" si="23"/>
        <v>0</v>
      </c>
      <c r="BW15">
        <f t="shared" si="69"/>
        <v>0.33819739855257525</v>
      </c>
      <c r="BX15">
        <f t="shared" si="70"/>
        <v>0.68837154245161514</v>
      </c>
      <c r="BY15">
        <f t="shared" si="71"/>
        <v>4</v>
      </c>
      <c r="BZ15">
        <f t="shared" si="24"/>
        <v>1.6881001340103678</v>
      </c>
      <c r="CB15">
        <f t="shared" si="152"/>
        <v>14.772370481507675</v>
      </c>
      <c r="CC15">
        <f t="shared" si="72"/>
        <v>1.1029999335729888</v>
      </c>
      <c r="CD15">
        <f t="shared" si="73"/>
        <v>0.84535498719953073</v>
      </c>
      <c r="CE15">
        <f t="shared" si="74"/>
        <v>0.54693032509916217</v>
      </c>
      <c r="CF15">
        <f t="shared" si="75"/>
        <v>0.54693032509573047</v>
      </c>
      <c r="CG15">
        <f t="shared" si="76"/>
        <v>1.9374617437062369E-6</v>
      </c>
      <c r="CH15">
        <f t="shared" si="25"/>
        <v>0</v>
      </c>
      <c r="CK15" s="17">
        <f t="shared" si="77"/>
        <v>0.34250528724286761</v>
      </c>
      <c r="CL15" s="18">
        <f t="shared" si="78"/>
        <v>0.66529916965943747</v>
      </c>
      <c r="CM15" s="18">
        <f t="shared" si="79"/>
        <v>4</v>
      </c>
      <c r="CN15" s="18">
        <f t="shared" si="26"/>
        <v>1.5040394442049432</v>
      </c>
      <c r="CO15" s="18"/>
      <c r="CP15" s="18">
        <f t="shared" si="153"/>
        <v>13.161676514895564</v>
      </c>
      <c r="CQ15" s="18">
        <f t="shared" si="80"/>
        <v>0.29765295026731664</v>
      </c>
      <c r="CR15" s="18">
        <f t="shared" si="81"/>
        <v>2.6087805246017339</v>
      </c>
      <c r="CS15" s="18">
        <f t="shared" si="82"/>
        <v>0.54693032509916217</v>
      </c>
      <c r="CT15" s="18">
        <f t="shared" si="83"/>
        <v>0.54693032509573047</v>
      </c>
      <c r="CU15" s="18">
        <f t="shared" si="84"/>
        <v>1.9374617437062369E-6</v>
      </c>
      <c r="CV15" s="18">
        <f t="shared" si="27"/>
        <v>0</v>
      </c>
      <c r="CW15" s="18"/>
      <c r="CX15" s="19"/>
      <c r="CY15" s="17">
        <f t="shared" si="85"/>
        <v>0.3426103663233388</v>
      </c>
      <c r="CZ15" s="18">
        <f t="shared" si="86"/>
        <v>0.65489641542958288</v>
      </c>
      <c r="DA15" s="18">
        <f t="shared" si="87"/>
        <v>4</v>
      </c>
      <c r="DB15" s="18">
        <f t="shared" si="28"/>
        <v>1.4136739502138651</v>
      </c>
      <c r="DC15" s="18"/>
      <c r="DD15" s="18">
        <f t="shared" si="154"/>
        <v>12.370898450794977</v>
      </c>
      <c r="DE15" s="18">
        <f t="shared" si="88"/>
        <v>-9.7736081781793355E-2</v>
      </c>
      <c r="DF15" s="18">
        <f t="shared" si="89"/>
        <v>1.9735579899579467</v>
      </c>
      <c r="DG15" s="18">
        <f t="shared" si="90"/>
        <v>0.54693032509916217</v>
      </c>
      <c r="DH15" s="18">
        <f t="shared" si="91"/>
        <v>0.54693032509573047</v>
      </c>
      <c r="DI15" s="18">
        <f t="shared" si="92"/>
        <v>1.9374617437062369E-6</v>
      </c>
      <c r="DJ15" s="18">
        <f t="shared" si="29"/>
        <v>0</v>
      </c>
      <c r="DK15" s="18"/>
      <c r="DL15" s="19"/>
      <c r="DM15" s="17">
        <f t="shared" si="93"/>
        <v>0.34206272357430356</v>
      </c>
      <c r="DN15" s="18">
        <f t="shared" si="94"/>
        <v>0.64995249567296975</v>
      </c>
      <c r="DO15" s="18">
        <f t="shared" si="95"/>
        <v>4</v>
      </c>
      <c r="DP15" s="18">
        <f t="shared" si="30"/>
        <v>1.3688987313423437</v>
      </c>
      <c r="DQ15" s="18"/>
      <c r="DR15" s="18">
        <f t="shared" si="155"/>
        <v>11.97907565057438</v>
      </c>
      <c r="DS15" s="18">
        <f t="shared" si="96"/>
        <v>-0.29364748189152673</v>
      </c>
      <c r="DT15" s="18">
        <f t="shared" si="97"/>
        <v>1.6673850748101349</v>
      </c>
      <c r="DU15" s="18">
        <f t="shared" si="98"/>
        <v>0.54693032509916217</v>
      </c>
      <c r="DV15" s="18">
        <f t="shared" si="99"/>
        <v>0.54693032509573047</v>
      </c>
      <c r="DW15" s="18">
        <f t="shared" si="100"/>
        <v>1.9374617437062369E-6</v>
      </c>
      <c r="DX15" s="18">
        <f t="shared" si="31"/>
        <v>0</v>
      </c>
      <c r="DY15" s="18"/>
      <c r="DZ15" s="19"/>
      <c r="EA15" s="17">
        <f t="shared" si="101"/>
        <v>0.34162725515218123</v>
      </c>
      <c r="EB15" s="18">
        <f t="shared" si="102"/>
        <v>0.64754188250621314</v>
      </c>
      <c r="EC15" s="18">
        <f t="shared" si="103"/>
        <v>4</v>
      </c>
      <c r="ED15" s="18">
        <f t="shared" si="32"/>
        <v>1.346611407724754</v>
      </c>
      <c r="EE15" s="18"/>
      <c r="EF15" s="18">
        <f t="shared" si="156"/>
        <v>11.784041840146243</v>
      </c>
      <c r="EG15" s="18">
        <f t="shared" si="104"/>
        <v>-0.39116438710535945</v>
      </c>
      <c r="EH15" s="18">
        <f t="shared" si="105"/>
        <v>1.5169407288000807</v>
      </c>
      <c r="EI15" s="18">
        <f t="shared" si="106"/>
        <v>0.54693032509916217</v>
      </c>
      <c r="EJ15" s="18">
        <f t="shared" si="107"/>
        <v>0.54693032509573047</v>
      </c>
      <c r="EK15" s="18">
        <f t="shared" si="108"/>
        <v>1.9374617437062369E-6</v>
      </c>
      <c r="EL15" s="18">
        <f t="shared" si="33"/>
        <v>0</v>
      </c>
      <c r="EM15" s="18"/>
      <c r="EN15" s="19"/>
      <c r="EO15" s="17">
        <f t="shared" si="109"/>
        <v>0.34136764985311724</v>
      </c>
      <c r="EP15" s="18">
        <f t="shared" si="110"/>
        <v>0.64635154898866432</v>
      </c>
      <c r="EQ15" s="18">
        <f t="shared" si="111"/>
        <v>4</v>
      </c>
      <c r="ER15" s="18">
        <f t="shared" si="34"/>
        <v>1.3354925892780183</v>
      </c>
      <c r="ES15" s="18"/>
      <c r="ET15" s="18">
        <f t="shared" si="157"/>
        <v>11.686742336341574</v>
      </c>
      <c r="EU15" s="18">
        <f t="shared" si="112"/>
        <v>-0.4398141390075902</v>
      </c>
      <c r="EV15" s="18">
        <f t="shared" si="113"/>
        <v>1.442353804920028</v>
      </c>
      <c r="EW15" s="18">
        <f t="shared" si="114"/>
        <v>0.54693032509916217</v>
      </c>
      <c r="EX15" s="18">
        <f t="shared" si="115"/>
        <v>0.54693032509573047</v>
      </c>
      <c r="EY15" s="18">
        <f t="shared" si="116"/>
        <v>1.9374617437062369E-6</v>
      </c>
      <c r="EZ15" s="18">
        <f t="shared" si="35"/>
        <v>0</v>
      </c>
      <c r="FA15" s="18"/>
      <c r="FB15" s="19"/>
      <c r="FC15" s="17">
        <f t="shared" si="117"/>
        <v>0.34122719708524801</v>
      </c>
      <c r="FD15" s="18">
        <f t="shared" si="118"/>
        <v>0.64576008088552284</v>
      </c>
      <c r="FE15" s="18">
        <f t="shared" si="119"/>
        <v>4</v>
      </c>
      <c r="FF15" s="18">
        <f t="shared" si="36"/>
        <v>1.3299393606998364</v>
      </c>
      <c r="FG15" s="18"/>
      <c r="FH15" s="18">
        <f t="shared" si="158"/>
        <v>11.638146670555734</v>
      </c>
      <c r="FI15" s="18">
        <f t="shared" si="120"/>
        <v>-0.46411197190046366</v>
      </c>
      <c r="FJ15" s="18">
        <f t="shared" si="121"/>
        <v>1.4052161054341088</v>
      </c>
      <c r="FK15" s="18">
        <f t="shared" si="122"/>
        <v>0.54693032509916217</v>
      </c>
      <c r="FL15" s="18">
        <f t="shared" si="123"/>
        <v>0.54693032509573047</v>
      </c>
      <c r="FM15" s="18">
        <f t="shared" si="124"/>
        <v>1.9374617437062369E-6</v>
      </c>
      <c r="FN15" s="18">
        <f t="shared" si="37"/>
        <v>0</v>
      </c>
      <c r="FO15" s="18"/>
      <c r="FP15" s="19"/>
      <c r="FQ15" s="17">
        <f t="shared" si="125"/>
        <v>0.34115428540075793</v>
      </c>
      <c r="FR15" s="18">
        <f t="shared" si="126"/>
        <v>0.645465265973724</v>
      </c>
      <c r="FS15" s="18">
        <f t="shared" si="127"/>
        <v>4</v>
      </c>
      <c r="FT15" s="18">
        <f t="shared" si="38"/>
        <v>1.3271642876955014</v>
      </c>
      <c r="FU15" s="18"/>
      <c r="FV15" s="18">
        <f t="shared" si="159"/>
        <v>11.613862325268778</v>
      </c>
      <c r="FW15" s="18">
        <f t="shared" si="128"/>
        <v>-0.47625414454391896</v>
      </c>
      <c r="FX15" s="18">
        <f t="shared" si="129"/>
        <v>1.3866858216882525</v>
      </c>
      <c r="FY15" s="18">
        <f t="shared" si="130"/>
        <v>0.54693032509916217</v>
      </c>
      <c r="FZ15" s="18">
        <f t="shared" si="131"/>
        <v>0.54693032509573047</v>
      </c>
      <c r="GA15" s="18">
        <f t="shared" si="132"/>
        <v>1.9374617437062369E-6</v>
      </c>
      <c r="GB15" s="18">
        <f t="shared" si="39"/>
        <v>0</v>
      </c>
      <c r="GC15" s="18"/>
      <c r="GD15" s="19"/>
      <c r="GE15" s="17">
        <f t="shared" si="133"/>
        <v>0.34107957484759571</v>
      </c>
      <c r="GF15" s="18">
        <f t="shared" si="134"/>
        <v>0.64517106172791239</v>
      </c>
      <c r="GG15" s="18">
        <f t="shared" si="135"/>
        <v>4</v>
      </c>
      <c r="GH15" s="18">
        <f t="shared" si="40"/>
        <v>1.3243902407171335</v>
      </c>
      <c r="GI15" s="18"/>
      <c r="GJ15" s="18">
        <f t="shared" si="160"/>
        <v>11.589586958617272</v>
      </c>
      <c r="GK15" s="18">
        <f t="shared" si="136"/>
        <v>-0.48839182786965035</v>
      </c>
      <c r="GL15" s="18">
        <f t="shared" si="137"/>
        <v>1.3681811072127976</v>
      </c>
      <c r="GM15" s="18">
        <f t="shared" si="138"/>
        <v>0.54693032509916217</v>
      </c>
      <c r="GN15" s="18">
        <f t="shared" si="139"/>
        <v>0.54693032509573047</v>
      </c>
      <c r="GO15" s="18">
        <f t="shared" si="140"/>
        <v>1.9374617437062369E-6</v>
      </c>
      <c r="GP15" s="18">
        <f t="shared" si="41"/>
        <v>0</v>
      </c>
      <c r="GQ15" s="18"/>
      <c r="GR15" s="19"/>
      <c r="GS15" s="17">
        <f t="shared" si="141"/>
        <v>0.34092473114716615</v>
      </c>
      <c r="GT15" s="18">
        <f t="shared" si="142"/>
        <v>0.6445844789764037</v>
      </c>
      <c r="GU15" s="18">
        <f t="shared" si="143"/>
        <v>4</v>
      </c>
      <c r="GV15" s="18">
        <f t="shared" si="42"/>
        <v>1.3188452203011769</v>
      </c>
      <c r="GW15" s="18"/>
      <c r="GX15" s="18">
        <f t="shared" si="161"/>
        <v>11.541063121516782</v>
      </c>
      <c r="GY15" s="18">
        <f t="shared" si="144"/>
        <v>-0.51265374641985395</v>
      </c>
      <c r="GZ15" s="18">
        <f t="shared" si="145"/>
        <v>1.3312479648158031</v>
      </c>
      <c r="HA15" s="18">
        <f t="shared" si="146"/>
        <v>0.54693032509916217</v>
      </c>
      <c r="HB15" s="18">
        <f t="shared" si="147"/>
        <v>0.54693032509573047</v>
      </c>
      <c r="HC15" s="18">
        <f t="shared" si="148"/>
        <v>1.9374617437062369E-6</v>
      </c>
      <c r="HD15" s="18">
        <f t="shared" si="43"/>
        <v>0</v>
      </c>
      <c r="HE15" s="18"/>
      <c r="HF15" s="19"/>
    </row>
    <row r="16" spans="1:217">
      <c r="A16">
        <f t="shared" si="8"/>
        <v>10</v>
      </c>
      <c r="B16">
        <f t="shared" si="9"/>
        <v>0.87580797410537148</v>
      </c>
      <c r="C16">
        <f t="shared" si="10"/>
        <v>0.87580797410537148</v>
      </c>
      <c r="D16">
        <f t="shared" si="11"/>
        <v>0</v>
      </c>
      <c r="E16">
        <f t="shared" si="5"/>
        <v>1452.8835591272468</v>
      </c>
      <c r="F16">
        <f t="shared" si="14"/>
        <v>1</v>
      </c>
      <c r="G16" t="str">
        <f t="shared" si="12"/>
        <v/>
      </c>
      <c r="H16">
        <f t="shared" si="13"/>
        <v>22.701305611363232</v>
      </c>
      <c r="M16">
        <f t="shared" si="15"/>
        <v>2.8720227325391559</v>
      </c>
      <c r="N16">
        <f>N15+X16*SIN(S16)</f>
        <v>0.34092473114564403</v>
      </c>
      <c r="O16">
        <f t="shared" si="45"/>
        <v>0.6294415940657927</v>
      </c>
      <c r="P16">
        <f t="shared" si="46"/>
        <v>5</v>
      </c>
      <c r="Q16">
        <f t="shared" si="18"/>
        <v>1.318845220305314</v>
      </c>
      <c r="R16">
        <f t="shared" si="47"/>
        <v>0.46097778600420874</v>
      </c>
      <c r="S16">
        <f t="shared" si="149"/>
        <v>23.082126243033557</v>
      </c>
      <c r="T16">
        <f t="shared" si="48"/>
        <v>-1.0253074928423946</v>
      </c>
      <c r="U16">
        <f t="shared" si="49"/>
        <v>2.6624959296301531</v>
      </c>
      <c r="V16">
        <f t="shared" si="50"/>
        <v>0.54693032509744632</v>
      </c>
      <c r="W16">
        <f t="shared" si="51"/>
        <v>0.54693032509744632</v>
      </c>
      <c r="X16">
        <f t="shared" si="52"/>
        <v>1.7158496845581794E-12</v>
      </c>
      <c r="Y16">
        <f t="shared" si="19"/>
        <v>0</v>
      </c>
      <c r="AB16" t="s">
        <v>160</v>
      </c>
      <c r="AC16">
        <v>8</v>
      </c>
      <c r="AE16" t="s">
        <v>33</v>
      </c>
      <c r="AK16">
        <f t="shared" si="16"/>
        <v>2.8720227325391559</v>
      </c>
      <c r="AL16">
        <f t="shared" si="53"/>
        <v>0.34107957484600404</v>
      </c>
      <c r="AM16">
        <f t="shared" si="54"/>
        <v>0.64517106172791239</v>
      </c>
      <c r="AN16">
        <f t="shared" si="55"/>
        <v>5</v>
      </c>
      <c r="AO16">
        <f t="shared" si="20"/>
        <v>1.3243902407212884</v>
      </c>
      <c r="AQ16">
        <f t="shared" si="150"/>
        <v>23.179173917234543</v>
      </c>
      <c r="AR16">
        <f t="shared" si="56"/>
        <v>-0.97678365574190151</v>
      </c>
      <c r="AS16">
        <f t="shared" si="57"/>
        <v>2.7363622144243585</v>
      </c>
      <c r="AT16">
        <f t="shared" si="58"/>
        <v>0.54693032509744632</v>
      </c>
      <c r="AU16">
        <f t="shared" si="59"/>
        <v>0.54693032509744632</v>
      </c>
      <c r="AV16">
        <f t="shared" si="60"/>
        <v>1.7158496845581794E-12</v>
      </c>
      <c r="AW16">
        <f t="shared" si="21"/>
        <v>0</v>
      </c>
      <c r="AZ16" t="s">
        <v>42</v>
      </c>
      <c r="BG16">
        <f t="shared" si="17"/>
        <v>2.8720227325391559</v>
      </c>
      <c r="BH16">
        <f t="shared" si="61"/>
        <v>0.31599148971376317</v>
      </c>
      <c r="BI16">
        <f t="shared" si="62"/>
        <v>0.74546088367566687</v>
      </c>
      <c r="BJ16">
        <f t="shared" si="63"/>
        <v>5</v>
      </c>
      <c r="BK16">
        <f t="shared" si="22"/>
        <v>2.0694631440782327</v>
      </c>
      <c r="BM16">
        <f t="shared" si="151"/>
        <v>36.219268805372522</v>
      </c>
      <c r="BN16">
        <f t="shared" si="64"/>
        <v>-0.73992151885249846</v>
      </c>
      <c r="BO16">
        <f t="shared" si="65"/>
        <v>2.1441458183704523</v>
      </c>
      <c r="BP16">
        <f t="shared" si="66"/>
        <v>0.54693032509744632</v>
      </c>
      <c r="BQ16">
        <f t="shared" si="67"/>
        <v>0.54693032509744632</v>
      </c>
      <c r="BR16">
        <f t="shared" si="68"/>
        <v>1.7158496845581794E-12</v>
      </c>
      <c r="BS16">
        <f t="shared" si="23"/>
        <v>0</v>
      </c>
      <c r="BW16">
        <f t="shared" si="69"/>
        <v>0.33819739855093622</v>
      </c>
      <c r="BX16">
        <f t="shared" si="70"/>
        <v>0.68837154245161514</v>
      </c>
      <c r="BY16">
        <f t="shared" si="71"/>
        <v>5</v>
      </c>
      <c r="BZ16">
        <f t="shared" si="24"/>
        <v>1.6881001340156638</v>
      </c>
      <c r="CB16">
        <f t="shared" si="152"/>
        <v>29.54474096301535</v>
      </c>
      <c r="CC16">
        <f t="shared" si="72"/>
        <v>-0.93559278644129107</v>
      </c>
      <c r="CD16">
        <f t="shared" si="73"/>
        <v>1.6907099743959466</v>
      </c>
      <c r="CE16">
        <f t="shared" si="74"/>
        <v>0.54693032509744632</v>
      </c>
      <c r="CF16">
        <f t="shared" si="75"/>
        <v>0.54693032509744632</v>
      </c>
      <c r="CG16">
        <f t="shared" si="76"/>
        <v>1.7158496845581794E-12</v>
      </c>
      <c r="CH16">
        <f t="shared" si="25"/>
        <v>0</v>
      </c>
      <c r="CK16" s="17">
        <f t="shared" si="77"/>
        <v>0.34250528724446094</v>
      </c>
      <c r="CL16" s="18">
        <f t="shared" si="78"/>
        <v>0.66529916965943747</v>
      </c>
      <c r="CM16" s="18">
        <f t="shared" si="79"/>
        <v>5</v>
      </c>
      <c r="CN16" s="18">
        <f t="shared" si="26"/>
        <v>1.5040394442096616</v>
      </c>
      <c r="CO16" s="18"/>
      <c r="CP16" s="18">
        <f t="shared" si="153"/>
        <v>26.323353029791129</v>
      </c>
      <c r="CQ16" s="18">
        <f t="shared" si="80"/>
        <v>0.59530590053639143</v>
      </c>
      <c r="CR16" s="18">
        <f t="shared" si="81"/>
        <v>2.0759683956164201</v>
      </c>
      <c r="CS16" s="18">
        <f t="shared" si="82"/>
        <v>0.54693032509744632</v>
      </c>
      <c r="CT16" s="18">
        <f t="shared" si="83"/>
        <v>0.54693032509744632</v>
      </c>
      <c r="CU16" s="18">
        <f t="shared" si="84"/>
        <v>1.7158496845581794E-12</v>
      </c>
      <c r="CV16" s="18">
        <f t="shared" si="27"/>
        <v>0</v>
      </c>
      <c r="CW16" s="18"/>
      <c r="CX16" s="19"/>
      <c r="CY16" s="17">
        <f t="shared" si="85"/>
        <v>0.34261036632268493</v>
      </c>
      <c r="CZ16" s="18">
        <f t="shared" si="86"/>
        <v>0.65489641542958288</v>
      </c>
      <c r="DA16" s="18">
        <f t="shared" si="87"/>
        <v>5</v>
      </c>
      <c r="DB16" s="18">
        <f t="shared" si="28"/>
        <v>1.4136739502183002</v>
      </c>
      <c r="DC16" s="18"/>
      <c r="DD16" s="18">
        <f t="shared" si="154"/>
        <v>24.741796901589954</v>
      </c>
      <c r="DE16" s="18">
        <f t="shared" si="88"/>
        <v>-0.19547216356419611</v>
      </c>
      <c r="DF16" s="18">
        <f t="shared" si="89"/>
        <v>0.80552332632836277</v>
      </c>
      <c r="DG16" s="18">
        <f t="shared" si="90"/>
        <v>0.54693032509744632</v>
      </c>
      <c r="DH16" s="18">
        <f t="shared" si="91"/>
        <v>0.54693032509744632</v>
      </c>
      <c r="DI16" s="18">
        <f t="shared" si="92"/>
        <v>1.7158496845581794E-12</v>
      </c>
      <c r="DJ16" s="18">
        <f t="shared" si="29"/>
        <v>0</v>
      </c>
      <c r="DK16" s="18"/>
      <c r="DL16" s="19"/>
      <c r="DM16" s="17">
        <f t="shared" si="93"/>
        <v>0.34206272357272066</v>
      </c>
      <c r="DN16" s="18">
        <f t="shared" si="94"/>
        <v>0.64995249567296975</v>
      </c>
      <c r="DO16" s="18">
        <f t="shared" si="95"/>
        <v>5</v>
      </c>
      <c r="DP16" s="18">
        <f t="shared" si="30"/>
        <v>1.3688987313466383</v>
      </c>
      <c r="DQ16" s="18"/>
      <c r="DR16" s="18">
        <f t="shared" si="155"/>
        <v>23.95815130114876</v>
      </c>
      <c r="DS16" s="18">
        <f t="shared" si="96"/>
        <v>-0.58729496378479285</v>
      </c>
      <c r="DT16" s="18">
        <f t="shared" si="97"/>
        <v>0.19317749603107881</v>
      </c>
      <c r="DU16" s="18">
        <f t="shared" si="98"/>
        <v>0.54693032509744632</v>
      </c>
      <c r="DV16" s="18">
        <f t="shared" si="99"/>
        <v>0.54693032509744632</v>
      </c>
      <c r="DW16" s="18">
        <f t="shared" si="100"/>
        <v>1.7158496845581794E-12</v>
      </c>
      <c r="DX16" s="18">
        <f t="shared" si="31"/>
        <v>0</v>
      </c>
      <c r="DY16" s="18"/>
      <c r="DZ16" s="19"/>
      <c r="EA16" s="17">
        <f t="shared" si="101"/>
        <v>0.34162725515046544</v>
      </c>
      <c r="EB16" s="18">
        <f t="shared" si="102"/>
        <v>0.64754188250621314</v>
      </c>
      <c r="EC16" s="18">
        <f t="shared" si="103"/>
        <v>5</v>
      </c>
      <c r="ED16" s="18">
        <f t="shared" si="32"/>
        <v>1.3466114077289788</v>
      </c>
      <c r="EE16" s="18"/>
      <c r="EF16" s="18">
        <f t="shared" si="156"/>
        <v>23.568083680292485</v>
      </c>
      <c r="EG16" s="18">
        <f t="shared" si="104"/>
        <v>-0.78232877421293034</v>
      </c>
      <c r="EH16" s="18">
        <f t="shared" si="105"/>
        <v>3.0338814575998239</v>
      </c>
      <c r="EI16" s="18">
        <f t="shared" si="106"/>
        <v>0.54693032509744632</v>
      </c>
      <c r="EJ16" s="18">
        <f t="shared" si="107"/>
        <v>0.54693032509744632</v>
      </c>
      <c r="EK16" s="18">
        <f t="shared" si="108"/>
        <v>1.7158496845581794E-12</v>
      </c>
      <c r="EL16" s="18">
        <f t="shared" si="33"/>
        <v>0</v>
      </c>
      <c r="EM16" s="18"/>
      <c r="EN16" s="19"/>
      <c r="EO16" s="17">
        <f t="shared" si="109"/>
        <v>0.34136764985143175</v>
      </c>
      <c r="EP16" s="18">
        <f t="shared" si="110"/>
        <v>0.64635154898866432</v>
      </c>
      <c r="EQ16" s="18">
        <f t="shared" si="111"/>
        <v>5</v>
      </c>
      <c r="ER16" s="18">
        <f t="shared" si="34"/>
        <v>1.335492589282208</v>
      </c>
      <c r="ES16" s="18"/>
      <c r="ET16" s="18">
        <f t="shared" si="157"/>
        <v>23.373484672683148</v>
      </c>
      <c r="EU16" s="18">
        <f t="shared" si="112"/>
        <v>-0.87962827801759913</v>
      </c>
      <c r="EV16" s="18">
        <f t="shared" si="113"/>
        <v>2.8847076098392588</v>
      </c>
      <c r="EW16" s="18">
        <f t="shared" si="114"/>
        <v>0.54693032509744632</v>
      </c>
      <c r="EX16" s="18">
        <f t="shared" si="115"/>
        <v>0.54693032509744632</v>
      </c>
      <c r="EY16" s="18">
        <f t="shared" si="116"/>
        <v>1.7158496845581794E-12</v>
      </c>
      <c r="EZ16" s="18">
        <f t="shared" si="35"/>
        <v>0</v>
      </c>
      <c r="FA16" s="18"/>
      <c r="FB16" s="19"/>
      <c r="FC16" s="17">
        <f t="shared" si="117"/>
        <v>0.34122719708360172</v>
      </c>
      <c r="FD16" s="18">
        <f t="shared" si="118"/>
        <v>0.64576008088552284</v>
      </c>
      <c r="FE16" s="18">
        <f t="shared" si="119"/>
        <v>5</v>
      </c>
      <c r="FF16" s="18">
        <f t="shared" si="36"/>
        <v>1.3299393607040086</v>
      </c>
      <c r="FG16" s="18"/>
      <c r="FH16" s="18">
        <f t="shared" si="158"/>
        <v>23.276293341111469</v>
      </c>
      <c r="FI16" s="18">
        <f t="shared" si="120"/>
        <v>-0.92822394380343853</v>
      </c>
      <c r="FJ16" s="18">
        <f t="shared" si="121"/>
        <v>2.8104322108671975</v>
      </c>
      <c r="FK16" s="18">
        <f t="shared" si="122"/>
        <v>0.54693032509744632</v>
      </c>
      <c r="FL16" s="18">
        <f t="shared" si="123"/>
        <v>0.54693032509744632</v>
      </c>
      <c r="FM16" s="18">
        <f t="shared" si="124"/>
        <v>1.7158496845581794E-12</v>
      </c>
      <c r="FN16" s="18">
        <f t="shared" si="37"/>
        <v>0</v>
      </c>
      <c r="FO16" s="18"/>
      <c r="FP16" s="19"/>
      <c r="FQ16" s="17">
        <f t="shared" si="125"/>
        <v>0.341154285399137</v>
      </c>
      <c r="FR16" s="18">
        <f t="shared" si="126"/>
        <v>0.645465265973724</v>
      </c>
      <c r="FS16" s="18">
        <f t="shared" si="127"/>
        <v>5</v>
      </c>
      <c r="FT16" s="18">
        <f t="shared" si="38"/>
        <v>1.3271642876996652</v>
      </c>
      <c r="FU16" s="18"/>
      <c r="FV16" s="18">
        <f t="shared" si="159"/>
        <v>23.227724650537557</v>
      </c>
      <c r="FW16" s="18">
        <f t="shared" si="128"/>
        <v>-0.95250828909039476</v>
      </c>
      <c r="FX16" s="18">
        <f t="shared" si="129"/>
        <v>2.7733716433753757</v>
      </c>
      <c r="FY16" s="18">
        <f t="shared" si="130"/>
        <v>0.54693032509744632</v>
      </c>
      <c r="FZ16" s="18">
        <f t="shared" si="131"/>
        <v>0.54693032509744632</v>
      </c>
      <c r="GA16" s="18">
        <f t="shared" si="132"/>
        <v>1.7158496845581794E-12</v>
      </c>
      <c r="GB16" s="18">
        <f t="shared" si="39"/>
        <v>0</v>
      </c>
      <c r="GC16" s="18"/>
      <c r="GD16" s="19"/>
      <c r="GE16" s="17">
        <f t="shared" si="133"/>
        <v>0.34107957484600404</v>
      </c>
      <c r="GF16" s="18">
        <f t="shared" si="134"/>
        <v>0.64517106172791239</v>
      </c>
      <c r="GG16" s="18">
        <f t="shared" si="135"/>
        <v>5</v>
      </c>
      <c r="GH16" s="18">
        <f t="shared" si="40"/>
        <v>1.3243902407212884</v>
      </c>
      <c r="GI16" s="18"/>
      <c r="GJ16" s="18">
        <f t="shared" si="160"/>
        <v>23.179173917234543</v>
      </c>
      <c r="GK16" s="18">
        <f t="shared" si="136"/>
        <v>-0.97678365574190151</v>
      </c>
      <c r="GL16" s="18">
        <f t="shared" si="137"/>
        <v>2.7363622144243585</v>
      </c>
      <c r="GM16" s="18">
        <f t="shared" si="138"/>
        <v>0.54693032509744632</v>
      </c>
      <c r="GN16" s="18">
        <f t="shared" si="139"/>
        <v>0.54693032509744632</v>
      </c>
      <c r="GO16" s="18">
        <f t="shared" si="140"/>
        <v>1.7158496845581794E-12</v>
      </c>
      <c r="GP16" s="18">
        <f t="shared" si="41"/>
        <v>0</v>
      </c>
      <c r="GQ16" s="18"/>
      <c r="GR16" s="19"/>
      <c r="GS16" s="17">
        <f t="shared" si="141"/>
        <v>0.34092473114564403</v>
      </c>
      <c r="GT16" s="18">
        <f t="shared" si="142"/>
        <v>0.6445844789764037</v>
      </c>
      <c r="GU16" s="18">
        <f t="shared" si="143"/>
        <v>5</v>
      </c>
      <c r="GV16" s="18">
        <f t="shared" si="42"/>
        <v>1.3188452203053145</v>
      </c>
      <c r="GW16" s="18"/>
      <c r="GX16" s="18">
        <f t="shared" si="161"/>
        <v>23.082126243033564</v>
      </c>
      <c r="GY16" s="18">
        <f t="shared" si="144"/>
        <v>-1.0253074928423911</v>
      </c>
      <c r="GZ16" s="18">
        <f t="shared" si="145"/>
        <v>2.6624959296301602</v>
      </c>
      <c r="HA16" s="18">
        <f t="shared" si="146"/>
        <v>0.54693032509744632</v>
      </c>
      <c r="HB16" s="18">
        <f t="shared" si="147"/>
        <v>0.54693032509744632</v>
      </c>
      <c r="HC16" s="18">
        <f t="shared" si="148"/>
        <v>1.7158496845581794E-12</v>
      </c>
      <c r="HD16" s="18">
        <f t="shared" si="43"/>
        <v>0</v>
      </c>
      <c r="HE16" s="18"/>
      <c r="HF16" s="19"/>
    </row>
    <row r="17" spans="1:214">
      <c r="A17">
        <f t="shared" si="8"/>
        <v>11</v>
      </c>
      <c r="B17">
        <f t="shared" si="9"/>
        <v>0.87580797410537148</v>
      </c>
      <c r="C17">
        <f t="shared" si="10"/>
        <v>0.87580797410537148</v>
      </c>
      <c r="D17">
        <f t="shared" si="11"/>
        <v>0</v>
      </c>
      <c r="E17">
        <f t="shared" si="5"/>
        <v>2905.7671182544937</v>
      </c>
      <c r="F17">
        <f t="shared" si="14"/>
        <v>1</v>
      </c>
      <c r="G17" t="str">
        <f t="shared" si="12"/>
        <v/>
      </c>
      <c r="H17">
        <f t="shared" si="13"/>
        <v>22.701305611363232</v>
      </c>
      <c r="M17">
        <f t="shared" si="15"/>
        <v>2.8720227325391559</v>
      </c>
      <c r="N17">
        <f t="shared" si="44"/>
        <v>0.34092473114564403</v>
      </c>
      <c r="O17">
        <f t="shared" si="45"/>
        <v>0</v>
      </c>
      <c r="P17">
        <f t="shared" si="46"/>
        <v>6</v>
      </c>
      <c r="Q17">
        <f t="shared" si="18"/>
        <v>1.3188452203053138</v>
      </c>
      <c r="R17">
        <f t="shared" si="47"/>
        <v>0.81815413837149809</v>
      </c>
      <c r="S17">
        <f t="shared" si="149"/>
        <v>46.164252486067106</v>
      </c>
      <c r="T17">
        <f t="shared" si="48"/>
        <v>1.0909776679050038</v>
      </c>
      <c r="U17">
        <f t="shared" si="49"/>
        <v>2.1833992056705132</v>
      </c>
      <c r="V17">
        <f t="shared" si="50"/>
        <v>0.54693032509744632</v>
      </c>
      <c r="W17">
        <f t="shared" si="51"/>
        <v>0.54693032509744632</v>
      </c>
      <c r="X17">
        <f t="shared" si="52"/>
        <v>0</v>
      </c>
      <c r="Y17">
        <f t="shared" si="19"/>
        <v>0</v>
      </c>
      <c r="AB17" t="s">
        <v>159</v>
      </c>
      <c r="AC17">
        <f>180/AC16</f>
        <v>22.5</v>
      </c>
      <c r="AE17" t="s">
        <v>34</v>
      </c>
      <c r="AK17">
        <f t="shared" si="16"/>
        <v>2.8720227325391559</v>
      </c>
      <c r="AL17">
        <f t="shared" si="53"/>
        <v>0.34107957484600404</v>
      </c>
      <c r="AM17">
        <f t="shared" si="54"/>
        <v>0.64517106172791239</v>
      </c>
      <c r="AN17">
        <f t="shared" si="55"/>
        <v>6</v>
      </c>
      <c r="AO17">
        <f t="shared" si="20"/>
        <v>1.3243902407212884</v>
      </c>
      <c r="AQ17">
        <f t="shared" si="150"/>
        <v>46.358347834469086</v>
      </c>
      <c r="AR17">
        <f t="shared" si="56"/>
        <v>1.1880253421059903</v>
      </c>
      <c r="AS17">
        <f t="shared" si="57"/>
        <v>2.3311317752589238</v>
      </c>
      <c r="AT17">
        <f t="shared" si="58"/>
        <v>0.54693032509744632</v>
      </c>
      <c r="AU17">
        <f t="shared" si="59"/>
        <v>0.54693032509744632</v>
      </c>
      <c r="AV17">
        <f t="shared" si="60"/>
        <v>0</v>
      </c>
      <c r="AW17">
        <f t="shared" si="21"/>
        <v>0</v>
      </c>
      <c r="AZ17" t="s">
        <v>72</v>
      </c>
      <c r="BG17">
        <f t="shared" si="17"/>
        <v>2.8720227325391559</v>
      </c>
      <c r="BH17">
        <f t="shared" si="61"/>
        <v>0.31599148971376317</v>
      </c>
      <c r="BI17">
        <f t="shared" si="62"/>
        <v>0.74546088367566687</v>
      </c>
      <c r="BJ17">
        <f t="shared" si="63"/>
        <v>6</v>
      </c>
      <c r="BK17">
        <f t="shared" si="22"/>
        <v>2.0694631440782327</v>
      </c>
      <c r="BM17">
        <f t="shared" si="151"/>
        <v>72.438537610745044</v>
      </c>
      <c r="BN17">
        <f t="shared" si="64"/>
        <v>-1.4798430377049969</v>
      </c>
      <c r="BO17">
        <f t="shared" si="65"/>
        <v>1.1466989831511114</v>
      </c>
      <c r="BP17">
        <f t="shared" si="66"/>
        <v>0.54693032509744632</v>
      </c>
      <c r="BQ17">
        <f t="shared" si="67"/>
        <v>0.54693032509744632</v>
      </c>
      <c r="BR17">
        <f t="shared" si="68"/>
        <v>0</v>
      </c>
      <c r="BS17">
        <f t="shared" si="23"/>
        <v>0</v>
      </c>
      <c r="BW17">
        <f t="shared" si="69"/>
        <v>0.33819739855093622</v>
      </c>
      <c r="BX17">
        <f t="shared" si="70"/>
        <v>0.68837154245161514</v>
      </c>
      <c r="BY17">
        <f t="shared" si="71"/>
        <v>6</v>
      </c>
      <c r="BZ17">
        <f t="shared" si="24"/>
        <v>1.6881001340156636</v>
      </c>
      <c r="CB17">
        <f t="shared" si="152"/>
        <v>59.089481926030693</v>
      </c>
      <c r="CC17">
        <f t="shared" si="72"/>
        <v>1.270407080707211</v>
      </c>
      <c r="CD17">
        <f t="shared" si="73"/>
        <v>0.23982729520209989</v>
      </c>
      <c r="CE17">
        <f t="shared" si="74"/>
        <v>0.54693032509744632</v>
      </c>
      <c r="CF17">
        <f t="shared" si="75"/>
        <v>0.54693032509744632</v>
      </c>
      <c r="CG17">
        <f t="shared" si="76"/>
        <v>0</v>
      </c>
      <c r="CH17">
        <f t="shared" si="25"/>
        <v>0</v>
      </c>
      <c r="CK17" s="17">
        <f t="shared" si="77"/>
        <v>0.34250528724446094</v>
      </c>
      <c r="CL17" s="18">
        <f t="shared" si="78"/>
        <v>0.66529916965943747</v>
      </c>
      <c r="CM17" s="18">
        <f t="shared" si="79"/>
        <v>6</v>
      </c>
      <c r="CN17" s="18">
        <f t="shared" si="26"/>
        <v>1.5040394442096616</v>
      </c>
      <c r="CO17" s="18"/>
      <c r="CP17" s="18">
        <f t="shared" si="153"/>
        <v>52.646706059582257</v>
      </c>
      <c r="CQ17" s="18">
        <f t="shared" si="80"/>
        <v>1.1906118010727829</v>
      </c>
      <c r="CR17" s="18">
        <f t="shared" si="81"/>
        <v>1.0103441376430471</v>
      </c>
      <c r="CS17" s="18">
        <f t="shared" si="82"/>
        <v>0.54693032509744632</v>
      </c>
      <c r="CT17" s="18">
        <f t="shared" si="83"/>
        <v>0.54693032509744632</v>
      </c>
      <c r="CU17" s="18">
        <f t="shared" si="84"/>
        <v>0</v>
      </c>
      <c r="CV17" s="18">
        <f t="shared" si="27"/>
        <v>0</v>
      </c>
      <c r="CW17" s="18"/>
      <c r="CX17" s="19"/>
      <c r="CY17" s="17">
        <f t="shared" si="85"/>
        <v>0.34261036632268493</v>
      </c>
      <c r="CZ17" s="18">
        <f t="shared" si="86"/>
        <v>0.65489641542958288</v>
      </c>
      <c r="DA17" s="18">
        <f t="shared" si="87"/>
        <v>6</v>
      </c>
      <c r="DB17" s="18">
        <f t="shared" si="28"/>
        <v>1.4136739502183002</v>
      </c>
      <c r="DC17" s="18"/>
      <c r="DD17" s="18">
        <f t="shared" si="154"/>
        <v>49.483593803179907</v>
      </c>
      <c r="DE17" s="18">
        <f t="shared" si="88"/>
        <v>-0.39094432712839222</v>
      </c>
      <c r="DF17" s="18">
        <f t="shared" si="89"/>
        <v>1.6110466526567255</v>
      </c>
      <c r="DG17" s="18">
        <f t="shared" si="90"/>
        <v>0.54693032509744632</v>
      </c>
      <c r="DH17" s="18">
        <f t="shared" si="91"/>
        <v>0.54693032509744632</v>
      </c>
      <c r="DI17" s="18">
        <f t="shared" si="92"/>
        <v>0</v>
      </c>
      <c r="DJ17" s="18">
        <f t="shared" si="29"/>
        <v>0</v>
      </c>
      <c r="DK17" s="18"/>
      <c r="DL17" s="19"/>
      <c r="DM17" s="17">
        <f t="shared" si="93"/>
        <v>0.34206272357272066</v>
      </c>
      <c r="DN17" s="18">
        <f t="shared" si="94"/>
        <v>0.64995249567296975</v>
      </c>
      <c r="DO17" s="18">
        <f t="shared" si="95"/>
        <v>6</v>
      </c>
      <c r="DP17" s="18">
        <f t="shared" si="30"/>
        <v>1.3688987313466383</v>
      </c>
      <c r="DQ17" s="18"/>
      <c r="DR17" s="18">
        <f t="shared" si="155"/>
        <v>47.91630260229752</v>
      </c>
      <c r="DS17" s="18">
        <f t="shared" si="96"/>
        <v>-1.1745899275695859</v>
      </c>
      <c r="DT17" s="18">
        <f t="shared" si="97"/>
        <v>0.38635499206215762</v>
      </c>
      <c r="DU17" s="18">
        <f t="shared" si="98"/>
        <v>0.54693032509744632</v>
      </c>
      <c r="DV17" s="18">
        <f t="shared" si="99"/>
        <v>0.54693032509744632</v>
      </c>
      <c r="DW17" s="18">
        <f t="shared" si="100"/>
        <v>0</v>
      </c>
      <c r="DX17" s="18">
        <f t="shared" si="31"/>
        <v>0</v>
      </c>
      <c r="DY17" s="18"/>
      <c r="DZ17" s="19"/>
      <c r="EA17" s="17">
        <f t="shared" si="101"/>
        <v>0.34162725515046544</v>
      </c>
      <c r="EB17" s="18">
        <f t="shared" si="102"/>
        <v>0.64754188250621314</v>
      </c>
      <c r="EC17" s="18">
        <f t="shared" si="103"/>
        <v>6</v>
      </c>
      <c r="ED17" s="18">
        <f t="shared" si="32"/>
        <v>1.3466114077289788</v>
      </c>
      <c r="EE17" s="18"/>
      <c r="EF17" s="18">
        <f t="shared" si="156"/>
        <v>47.13616736058497</v>
      </c>
      <c r="EG17" s="18">
        <f t="shared" si="104"/>
        <v>-1.5646575484258607</v>
      </c>
      <c r="EH17" s="18">
        <f t="shared" si="105"/>
        <v>2.9261702616098546</v>
      </c>
      <c r="EI17" s="18">
        <f t="shared" si="106"/>
        <v>0.54693032509744632</v>
      </c>
      <c r="EJ17" s="18">
        <f t="shared" si="107"/>
        <v>0.54693032509744632</v>
      </c>
      <c r="EK17" s="18">
        <f t="shared" si="108"/>
        <v>0</v>
      </c>
      <c r="EL17" s="18">
        <f t="shared" si="33"/>
        <v>0</v>
      </c>
      <c r="EM17" s="18"/>
      <c r="EN17" s="19"/>
      <c r="EO17" s="17">
        <f t="shared" si="109"/>
        <v>0.34136764985143175</v>
      </c>
      <c r="EP17" s="18">
        <f t="shared" si="110"/>
        <v>0.64635154898866432</v>
      </c>
      <c r="EQ17" s="18">
        <f t="shared" si="111"/>
        <v>6</v>
      </c>
      <c r="ER17" s="18">
        <f t="shared" si="34"/>
        <v>1.3354925892822078</v>
      </c>
      <c r="ES17" s="18"/>
      <c r="ET17" s="18">
        <f t="shared" si="157"/>
        <v>46.746969345366288</v>
      </c>
      <c r="EU17" s="18">
        <f t="shared" si="112"/>
        <v>1.3823360975545951</v>
      </c>
      <c r="EV17" s="18">
        <f t="shared" si="113"/>
        <v>2.6278225660887244</v>
      </c>
      <c r="EW17" s="18">
        <f t="shared" si="114"/>
        <v>0.54693032509744632</v>
      </c>
      <c r="EX17" s="18">
        <f t="shared" si="115"/>
        <v>0.54693032509744632</v>
      </c>
      <c r="EY17" s="18">
        <f t="shared" si="116"/>
        <v>0</v>
      </c>
      <c r="EZ17" s="18">
        <f t="shared" si="35"/>
        <v>0</v>
      </c>
      <c r="FA17" s="18"/>
      <c r="FB17" s="19"/>
      <c r="FC17" s="17">
        <f t="shared" si="117"/>
        <v>0.34122719708360172</v>
      </c>
      <c r="FD17" s="18">
        <f t="shared" si="118"/>
        <v>0.64576008088552284</v>
      </c>
      <c r="FE17" s="18">
        <f t="shared" si="119"/>
        <v>6</v>
      </c>
      <c r="FF17" s="18">
        <f t="shared" si="36"/>
        <v>1.3299393607040084</v>
      </c>
      <c r="FG17" s="18"/>
      <c r="FH17" s="18">
        <f t="shared" si="158"/>
        <v>46.55258668222293</v>
      </c>
      <c r="FI17" s="18">
        <f t="shared" si="120"/>
        <v>1.285144765982916</v>
      </c>
      <c r="FJ17" s="18">
        <f t="shared" si="121"/>
        <v>2.4792717681446019</v>
      </c>
      <c r="FK17" s="18">
        <f t="shared" si="122"/>
        <v>0.54693032509744632</v>
      </c>
      <c r="FL17" s="18">
        <f t="shared" si="123"/>
        <v>0.54693032509744632</v>
      </c>
      <c r="FM17" s="18">
        <f t="shared" si="124"/>
        <v>0</v>
      </c>
      <c r="FN17" s="18">
        <f t="shared" si="37"/>
        <v>0</v>
      </c>
      <c r="FO17" s="18"/>
      <c r="FP17" s="19"/>
      <c r="FQ17" s="17">
        <f t="shared" si="125"/>
        <v>0.341154285399137</v>
      </c>
      <c r="FR17" s="18">
        <f t="shared" si="126"/>
        <v>0.645465265973724</v>
      </c>
      <c r="FS17" s="18">
        <f t="shared" si="127"/>
        <v>6</v>
      </c>
      <c r="FT17" s="18">
        <f t="shared" si="38"/>
        <v>1.3271642876996652</v>
      </c>
      <c r="FU17" s="18"/>
      <c r="FV17" s="18">
        <f t="shared" si="159"/>
        <v>46.455449301075113</v>
      </c>
      <c r="FW17" s="18">
        <f t="shared" si="128"/>
        <v>1.2365760754090038</v>
      </c>
      <c r="FX17" s="18">
        <f t="shared" si="129"/>
        <v>2.4051506331609582</v>
      </c>
      <c r="FY17" s="18">
        <f t="shared" si="130"/>
        <v>0.54693032509744632</v>
      </c>
      <c r="FZ17" s="18">
        <f t="shared" si="131"/>
        <v>0.54693032509744632</v>
      </c>
      <c r="GA17" s="18">
        <f t="shared" si="132"/>
        <v>0</v>
      </c>
      <c r="GB17" s="18">
        <f t="shared" si="39"/>
        <v>0</v>
      </c>
      <c r="GC17" s="18"/>
      <c r="GD17" s="19"/>
      <c r="GE17" s="17">
        <f t="shared" si="133"/>
        <v>0.34107957484600404</v>
      </c>
      <c r="GF17" s="18">
        <f t="shared" si="134"/>
        <v>0.64517106172791239</v>
      </c>
      <c r="GG17" s="18">
        <f t="shared" si="135"/>
        <v>6</v>
      </c>
      <c r="GH17" s="18">
        <f t="shared" si="40"/>
        <v>1.3243902407212884</v>
      </c>
      <c r="GI17" s="18"/>
      <c r="GJ17" s="18">
        <f t="shared" si="160"/>
        <v>46.358347834469086</v>
      </c>
      <c r="GK17" s="18">
        <f t="shared" si="136"/>
        <v>1.1880253421059903</v>
      </c>
      <c r="GL17" s="18">
        <f t="shared" si="137"/>
        <v>2.3311317752589238</v>
      </c>
      <c r="GM17" s="18">
        <f t="shared" si="138"/>
        <v>0.54693032509744632</v>
      </c>
      <c r="GN17" s="18">
        <f t="shared" si="139"/>
        <v>0.54693032509744632</v>
      </c>
      <c r="GO17" s="18">
        <f t="shared" si="140"/>
        <v>0</v>
      </c>
      <c r="GP17" s="18">
        <f t="shared" si="41"/>
        <v>0</v>
      </c>
      <c r="GQ17" s="18"/>
      <c r="GR17" s="19"/>
      <c r="GS17" s="17">
        <f t="shared" si="141"/>
        <v>0.34092473114564403</v>
      </c>
      <c r="GT17" s="18">
        <f t="shared" si="142"/>
        <v>0.6445844789764037</v>
      </c>
      <c r="GU17" s="18">
        <f t="shared" si="143"/>
        <v>6</v>
      </c>
      <c r="GV17" s="18">
        <f t="shared" si="42"/>
        <v>1.3188452203053145</v>
      </c>
      <c r="GW17" s="18"/>
      <c r="GX17" s="18">
        <f t="shared" si="161"/>
        <v>46.164252486067127</v>
      </c>
      <c r="GY17" s="18">
        <f t="shared" si="144"/>
        <v>1.0909776679050109</v>
      </c>
      <c r="GZ17" s="18">
        <f t="shared" si="145"/>
        <v>2.1833992056705274</v>
      </c>
      <c r="HA17" s="18">
        <f t="shared" si="146"/>
        <v>0.54693032509744632</v>
      </c>
      <c r="HB17" s="18">
        <f t="shared" si="147"/>
        <v>0.54693032509744632</v>
      </c>
      <c r="HC17" s="18">
        <f t="shared" si="148"/>
        <v>0</v>
      </c>
      <c r="HD17" s="18">
        <f t="shared" si="43"/>
        <v>0</v>
      </c>
      <c r="HE17" s="18"/>
      <c r="HF17" s="19"/>
    </row>
    <row r="18" spans="1:214">
      <c r="A18">
        <f t="shared" si="8"/>
        <v>12</v>
      </c>
      <c r="B18">
        <f t="shared" si="9"/>
        <v>0.87580797410537148</v>
      </c>
      <c r="C18">
        <f t="shared" si="10"/>
        <v>0.87580797410537148</v>
      </c>
      <c r="D18">
        <f t="shared" si="11"/>
        <v>0</v>
      </c>
      <c r="F18">
        <f t="shared" si="14"/>
        <v>1</v>
      </c>
      <c r="G18" t="str">
        <f t="shared" si="12"/>
        <v/>
      </c>
      <c r="H18" t="e">
        <f t="shared" si="13"/>
        <v>#DIV/0!</v>
      </c>
      <c r="M18">
        <f t="shared" si="15"/>
        <v>2.8720227325391559</v>
      </c>
      <c r="N18">
        <f t="shared" si="44"/>
        <v>0.34092473114564403</v>
      </c>
      <c r="O18">
        <f t="shared" si="45"/>
        <v>0</v>
      </c>
      <c r="P18">
        <f t="shared" si="46"/>
        <v>7</v>
      </c>
      <c r="Q18">
        <f t="shared" si="18"/>
        <v>1.3188452203053136</v>
      </c>
      <c r="R18">
        <f t="shared" si="47"/>
        <v>0.94087556001958772</v>
      </c>
      <c r="S18">
        <f t="shared" si="149"/>
        <v>92.328504972134198</v>
      </c>
      <c r="T18">
        <f t="shared" si="48"/>
        <v>-0.95963731777979255</v>
      </c>
      <c r="U18">
        <f t="shared" si="49"/>
        <v>1.2252057577512332</v>
      </c>
      <c r="V18">
        <f t="shared" si="50"/>
        <v>0.54693032509744632</v>
      </c>
      <c r="W18">
        <f t="shared" si="51"/>
        <v>0.54693032509744632</v>
      </c>
      <c r="X18">
        <f t="shared" si="52"/>
        <v>0</v>
      </c>
      <c r="Y18">
        <f t="shared" si="19"/>
        <v>0</v>
      </c>
      <c r="AB18">
        <v>1</v>
      </c>
      <c r="AC18">
        <f>AC17/2</f>
        <v>11.25</v>
      </c>
      <c r="AE18" t="s">
        <v>35</v>
      </c>
      <c r="AK18">
        <f t="shared" si="16"/>
        <v>2.8720227325391559</v>
      </c>
      <c r="AL18">
        <f t="shared" si="53"/>
        <v>0.34107957484600404</v>
      </c>
      <c r="AM18">
        <f t="shared" si="54"/>
        <v>0.64517106172791239</v>
      </c>
      <c r="AN18">
        <f t="shared" si="55"/>
        <v>7</v>
      </c>
      <c r="AO18">
        <f t="shared" si="20"/>
        <v>1.3243902407212884</v>
      </c>
      <c r="AQ18">
        <f t="shared" si="150"/>
        <v>92.716695668938172</v>
      </c>
      <c r="AR18">
        <f t="shared" si="56"/>
        <v>-0.76554196937781249</v>
      </c>
      <c r="AS18">
        <f t="shared" si="57"/>
        <v>1.5206708969280542</v>
      </c>
      <c r="AT18">
        <f t="shared" si="58"/>
        <v>0.54693032509744632</v>
      </c>
      <c r="AU18">
        <f t="shared" si="59"/>
        <v>0.54693032509744632</v>
      </c>
      <c r="AV18">
        <f t="shared" si="60"/>
        <v>0</v>
      </c>
      <c r="AW18">
        <f t="shared" si="21"/>
        <v>0</v>
      </c>
      <c r="AZ18" s="9" t="s">
        <v>77</v>
      </c>
      <c r="BG18">
        <f t="shared" si="17"/>
        <v>2.8720227325391559</v>
      </c>
      <c r="BH18">
        <f t="shared" si="61"/>
        <v>0.31599148971376317</v>
      </c>
      <c r="BI18">
        <f t="shared" si="62"/>
        <v>0.74546088367566687</v>
      </c>
      <c r="BJ18">
        <f t="shared" si="63"/>
        <v>7</v>
      </c>
      <c r="BK18">
        <f t="shared" si="22"/>
        <v>2.0694631440782327</v>
      </c>
      <c r="BM18">
        <f t="shared" si="151"/>
        <v>144.87707522149009</v>
      </c>
      <c r="BN18">
        <f t="shared" si="64"/>
        <v>0.18190657817979958</v>
      </c>
      <c r="BO18">
        <f t="shared" si="65"/>
        <v>2.2933979663022228</v>
      </c>
      <c r="BP18">
        <f t="shared" si="66"/>
        <v>0.54693032509744632</v>
      </c>
      <c r="BQ18">
        <f t="shared" si="67"/>
        <v>0.54693032509744632</v>
      </c>
      <c r="BR18">
        <f t="shared" si="68"/>
        <v>0</v>
      </c>
      <c r="BS18">
        <f t="shared" si="23"/>
        <v>0</v>
      </c>
      <c r="BW18">
        <f t="shared" si="69"/>
        <v>0.33819739855093622</v>
      </c>
      <c r="BX18">
        <f t="shared" si="70"/>
        <v>0.68837154245161514</v>
      </c>
      <c r="BY18">
        <f t="shared" si="71"/>
        <v>7</v>
      </c>
      <c r="BZ18">
        <f t="shared" si="24"/>
        <v>1.6881001340156634</v>
      </c>
      <c r="CB18">
        <f t="shared" si="152"/>
        <v>118.17896385206137</v>
      </c>
      <c r="CC18">
        <f t="shared" si="72"/>
        <v>-0.60077849217537838</v>
      </c>
      <c r="CD18">
        <f t="shared" si="73"/>
        <v>0.47965459040419978</v>
      </c>
      <c r="CE18">
        <f t="shared" si="74"/>
        <v>0.54693032509744632</v>
      </c>
      <c r="CF18">
        <f t="shared" si="75"/>
        <v>0.54693032509744632</v>
      </c>
      <c r="CG18">
        <f t="shared" si="76"/>
        <v>0</v>
      </c>
      <c r="CH18">
        <f t="shared" si="25"/>
        <v>0</v>
      </c>
      <c r="CK18" s="17">
        <f t="shared" si="77"/>
        <v>0.34250528724446094</v>
      </c>
      <c r="CL18" s="18">
        <f t="shared" si="78"/>
        <v>0.66529916965943747</v>
      </c>
      <c r="CM18" s="18">
        <f t="shared" si="79"/>
        <v>7</v>
      </c>
      <c r="CN18" s="18">
        <f t="shared" si="26"/>
        <v>1.5040394442096616</v>
      </c>
      <c r="CO18" s="18"/>
      <c r="CP18" s="18">
        <f t="shared" si="153"/>
        <v>105.29341211916451</v>
      </c>
      <c r="CQ18" s="18">
        <f t="shared" si="80"/>
        <v>-0.76036905144422773</v>
      </c>
      <c r="CR18" s="18">
        <f t="shared" si="81"/>
        <v>2.0206882752860942</v>
      </c>
      <c r="CS18" s="18">
        <f t="shared" si="82"/>
        <v>0.54693032509744632</v>
      </c>
      <c r="CT18" s="18">
        <f t="shared" si="83"/>
        <v>0.54693032509744632</v>
      </c>
      <c r="CU18" s="18">
        <f t="shared" si="84"/>
        <v>0</v>
      </c>
      <c r="CV18" s="18">
        <f t="shared" si="27"/>
        <v>0</v>
      </c>
      <c r="CW18" s="18"/>
      <c r="CX18" s="19"/>
      <c r="CY18" s="17">
        <f t="shared" si="85"/>
        <v>0.34261036632268493</v>
      </c>
      <c r="CZ18" s="18">
        <f t="shared" si="86"/>
        <v>0.65489641542958288</v>
      </c>
      <c r="DA18" s="18">
        <f t="shared" si="87"/>
        <v>7</v>
      </c>
      <c r="DB18" s="18">
        <f t="shared" si="28"/>
        <v>1.4136739502183002</v>
      </c>
      <c r="DC18" s="18"/>
      <c r="DD18" s="18">
        <f t="shared" si="154"/>
        <v>98.967187606359815</v>
      </c>
      <c r="DE18" s="18">
        <f t="shared" si="88"/>
        <v>-0.78188865425678444</v>
      </c>
      <c r="DF18" s="18">
        <f t="shared" si="89"/>
        <v>8.0500651723657723E-2</v>
      </c>
      <c r="DG18" s="18">
        <f t="shared" si="90"/>
        <v>0.54693032509744632</v>
      </c>
      <c r="DH18" s="18">
        <f t="shared" si="91"/>
        <v>0.54693032509744632</v>
      </c>
      <c r="DI18" s="18">
        <f t="shared" si="92"/>
        <v>0</v>
      </c>
      <c r="DJ18" s="18">
        <f t="shared" si="29"/>
        <v>0</v>
      </c>
      <c r="DK18" s="18"/>
      <c r="DL18" s="19"/>
      <c r="DM18" s="17">
        <f t="shared" si="93"/>
        <v>0.34206272357272066</v>
      </c>
      <c r="DN18" s="18">
        <f t="shared" si="94"/>
        <v>0.64995249567296975</v>
      </c>
      <c r="DO18" s="18">
        <f t="shared" si="95"/>
        <v>7</v>
      </c>
      <c r="DP18" s="18">
        <f t="shared" si="30"/>
        <v>1.3688987313466383</v>
      </c>
      <c r="DQ18" s="18"/>
      <c r="DR18" s="18">
        <f t="shared" si="155"/>
        <v>95.832605204595041</v>
      </c>
      <c r="DS18" s="18">
        <f t="shared" si="96"/>
        <v>0.79241279845062162</v>
      </c>
      <c r="DT18" s="18">
        <f t="shared" si="97"/>
        <v>0.77270998412431524</v>
      </c>
      <c r="DU18" s="18">
        <f t="shared" si="98"/>
        <v>0.54693032509744632</v>
      </c>
      <c r="DV18" s="18">
        <f t="shared" si="99"/>
        <v>0.54693032509744632</v>
      </c>
      <c r="DW18" s="18">
        <f t="shared" si="100"/>
        <v>0</v>
      </c>
      <c r="DX18" s="18">
        <f t="shared" si="31"/>
        <v>0</v>
      </c>
      <c r="DY18" s="18"/>
      <c r="DZ18" s="19"/>
      <c r="EA18" s="17">
        <f t="shared" si="101"/>
        <v>0.34162725515046544</v>
      </c>
      <c r="EB18" s="18">
        <f t="shared" si="102"/>
        <v>0.64754188250621314</v>
      </c>
      <c r="EC18" s="18">
        <f t="shared" si="103"/>
        <v>7</v>
      </c>
      <c r="ED18" s="18">
        <f t="shared" si="32"/>
        <v>1.3466114077289786</v>
      </c>
      <c r="EE18" s="18"/>
      <c r="EF18" s="18">
        <f t="shared" si="156"/>
        <v>94.272334721169926</v>
      </c>
      <c r="EG18" s="18">
        <f t="shared" si="104"/>
        <v>1.2277556738071675E-2</v>
      </c>
      <c r="EH18" s="18">
        <f t="shared" si="105"/>
        <v>2.7107478696299161</v>
      </c>
      <c r="EI18" s="18">
        <f t="shared" si="106"/>
        <v>0.54693032509744632</v>
      </c>
      <c r="EJ18" s="18">
        <f t="shared" si="107"/>
        <v>0.54693032509744632</v>
      </c>
      <c r="EK18" s="18">
        <f t="shared" si="108"/>
        <v>0</v>
      </c>
      <c r="EL18" s="18">
        <f t="shared" si="33"/>
        <v>0</v>
      </c>
      <c r="EM18" s="18"/>
      <c r="EN18" s="19"/>
      <c r="EO18" s="17">
        <f t="shared" si="109"/>
        <v>0.34136764985143175</v>
      </c>
      <c r="EP18" s="18">
        <f t="shared" si="110"/>
        <v>0.64635154898866432</v>
      </c>
      <c r="EQ18" s="18">
        <f t="shared" si="111"/>
        <v>7</v>
      </c>
      <c r="ER18" s="18">
        <f t="shared" si="34"/>
        <v>1.3354925892822076</v>
      </c>
      <c r="ES18" s="18"/>
      <c r="ET18" s="18">
        <f t="shared" si="157"/>
        <v>93.493938690732563</v>
      </c>
      <c r="EU18" s="18">
        <f t="shared" si="112"/>
        <v>-0.37692045848061012</v>
      </c>
      <c r="EV18" s="18">
        <f t="shared" si="113"/>
        <v>2.1140524785876558</v>
      </c>
      <c r="EW18" s="18">
        <f t="shared" si="114"/>
        <v>0.54693032509744632</v>
      </c>
      <c r="EX18" s="18">
        <f t="shared" si="115"/>
        <v>0.54693032509744632</v>
      </c>
      <c r="EY18" s="18">
        <f t="shared" si="116"/>
        <v>0</v>
      </c>
      <c r="EZ18" s="18">
        <f t="shared" si="35"/>
        <v>0</v>
      </c>
      <c r="FA18" s="18"/>
      <c r="FB18" s="19"/>
      <c r="FC18" s="17">
        <f t="shared" si="117"/>
        <v>0.34122719708360172</v>
      </c>
      <c r="FD18" s="18">
        <f t="shared" si="118"/>
        <v>0.64576008088552284</v>
      </c>
      <c r="FE18" s="18">
        <f t="shared" si="119"/>
        <v>7</v>
      </c>
      <c r="FF18" s="18">
        <f t="shared" si="36"/>
        <v>1.3299393607040082</v>
      </c>
      <c r="FG18" s="18"/>
      <c r="FH18" s="18">
        <f t="shared" si="158"/>
        <v>93.105173364445847</v>
      </c>
      <c r="FI18" s="18">
        <f t="shared" si="120"/>
        <v>-0.57130312162396824</v>
      </c>
      <c r="FJ18" s="18">
        <f t="shared" si="121"/>
        <v>1.8169508826994107</v>
      </c>
      <c r="FK18" s="18">
        <f t="shared" si="122"/>
        <v>0.54693032509744632</v>
      </c>
      <c r="FL18" s="18">
        <f t="shared" si="123"/>
        <v>0.54693032509744632</v>
      </c>
      <c r="FM18" s="18">
        <f t="shared" si="124"/>
        <v>0</v>
      </c>
      <c r="FN18" s="18">
        <f t="shared" si="37"/>
        <v>0</v>
      </c>
      <c r="FO18" s="18"/>
      <c r="FP18" s="19"/>
      <c r="FQ18" s="17">
        <f t="shared" si="125"/>
        <v>0.341154285399137</v>
      </c>
      <c r="FR18" s="18">
        <f t="shared" si="126"/>
        <v>0.645465265973724</v>
      </c>
      <c r="FS18" s="18">
        <f t="shared" si="127"/>
        <v>7</v>
      </c>
      <c r="FT18" s="18">
        <f t="shared" si="38"/>
        <v>1.327164287699665</v>
      </c>
      <c r="FU18" s="18"/>
      <c r="FV18" s="18">
        <f t="shared" si="159"/>
        <v>92.910898602150212</v>
      </c>
      <c r="FW18" s="18">
        <f t="shared" si="128"/>
        <v>-0.66844050277178557</v>
      </c>
      <c r="FX18" s="18">
        <f t="shared" si="129"/>
        <v>1.6687086127321233</v>
      </c>
      <c r="FY18" s="18">
        <f t="shared" si="130"/>
        <v>0.54693032509744632</v>
      </c>
      <c r="FZ18" s="18">
        <f t="shared" si="131"/>
        <v>0.54693032509744632</v>
      </c>
      <c r="GA18" s="18">
        <f t="shared" si="132"/>
        <v>0</v>
      </c>
      <c r="GB18" s="18">
        <f t="shared" si="39"/>
        <v>0</v>
      </c>
      <c r="GC18" s="18"/>
      <c r="GD18" s="19"/>
      <c r="GE18" s="17">
        <f t="shared" si="133"/>
        <v>0.34107957484600404</v>
      </c>
      <c r="GF18" s="18">
        <f t="shared" si="134"/>
        <v>0.64517106172791239</v>
      </c>
      <c r="GG18" s="18">
        <f t="shared" si="135"/>
        <v>7</v>
      </c>
      <c r="GH18" s="18">
        <f t="shared" si="40"/>
        <v>1.3243902407212884</v>
      </c>
      <c r="GI18" s="18"/>
      <c r="GJ18" s="18">
        <f t="shared" si="160"/>
        <v>92.716695668938172</v>
      </c>
      <c r="GK18" s="18">
        <f t="shared" si="136"/>
        <v>-0.76554196937781249</v>
      </c>
      <c r="GL18" s="18">
        <f t="shared" si="137"/>
        <v>1.5206708969280542</v>
      </c>
      <c r="GM18" s="18">
        <f t="shared" si="138"/>
        <v>0.54693032509744632</v>
      </c>
      <c r="GN18" s="18">
        <f t="shared" si="139"/>
        <v>0.54693032509744632</v>
      </c>
      <c r="GO18" s="18">
        <f t="shared" si="140"/>
        <v>0</v>
      </c>
      <c r="GP18" s="18">
        <f t="shared" si="41"/>
        <v>0</v>
      </c>
      <c r="GQ18" s="18"/>
      <c r="GR18" s="19"/>
      <c r="GS18" s="17">
        <f t="shared" si="141"/>
        <v>0.34092473114564403</v>
      </c>
      <c r="GT18" s="18">
        <f t="shared" si="142"/>
        <v>0.6445844789764037</v>
      </c>
      <c r="GU18" s="18">
        <f t="shared" si="143"/>
        <v>7</v>
      </c>
      <c r="GV18" s="18">
        <f t="shared" si="42"/>
        <v>1.3188452203053145</v>
      </c>
      <c r="GW18" s="18"/>
      <c r="GX18" s="18">
        <f t="shared" si="161"/>
        <v>92.328504972134255</v>
      </c>
      <c r="GY18" s="18">
        <f t="shared" si="144"/>
        <v>-0.95963731777977135</v>
      </c>
      <c r="GZ18" s="18">
        <f t="shared" si="145"/>
        <v>1.2252057577512616</v>
      </c>
      <c r="HA18" s="18">
        <f t="shared" si="146"/>
        <v>0.54693032509744632</v>
      </c>
      <c r="HB18" s="18">
        <f t="shared" si="147"/>
        <v>0.54693032509744632</v>
      </c>
      <c r="HC18" s="18">
        <f t="shared" si="148"/>
        <v>0</v>
      </c>
      <c r="HD18" s="18">
        <f t="shared" si="43"/>
        <v>0</v>
      </c>
      <c r="HE18" s="18"/>
      <c r="HF18" s="19"/>
    </row>
    <row r="19" spans="1:214">
      <c r="A19">
        <f t="shared" si="8"/>
        <v>13</v>
      </c>
      <c r="M19">
        <f t="shared" si="15"/>
        <v>2.8720227325391559</v>
      </c>
      <c r="N19">
        <f t="shared" si="44"/>
        <v>0.34092473114564403</v>
      </c>
      <c r="O19">
        <f t="shared" si="45"/>
        <v>0</v>
      </c>
      <c r="P19">
        <f t="shared" si="46"/>
        <v>8</v>
      </c>
      <c r="Q19">
        <f t="shared" si="18"/>
        <v>1.3188452203053136</v>
      </c>
      <c r="R19">
        <f t="shared" si="47"/>
        <v>0.63744768604079138</v>
      </c>
      <c r="S19">
        <f t="shared" si="149"/>
        <v>184.6570099442684</v>
      </c>
      <c r="T19">
        <f t="shared" si="48"/>
        <v>1.2223180180301938</v>
      </c>
      <c r="U19">
        <f t="shared" si="49"/>
        <v>2.4504115155024664</v>
      </c>
      <c r="V19">
        <f t="shared" si="50"/>
        <v>0.54693032509744632</v>
      </c>
      <c r="W19">
        <f t="shared" si="51"/>
        <v>0.54693032509744632</v>
      </c>
      <c r="X19">
        <f t="shared" si="52"/>
        <v>0</v>
      </c>
      <c r="Y19">
        <f t="shared" si="19"/>
        <v>0.54693032509744632</v>
      </c>
      <c r="AB19">
        <f>AB18+1</f>
        <v>2</v>
      </c>
      <c r="AC19">
        <f t="shared" ref="AC19:AC27" si="162">AC18/2</f>
        <v>5.625</v>
      </c>
      <c r="AE19" t="s">
        <v>36</v>
      </c>
      <c r="AK19">
        <f t="shared" si="16"/>
        <v>2.8720227325391559</v>
      </c>
      <c r="AL19">
        <f t="shared" si="53"/>
        <v>0.34107957484600404</v>
      </c>
      <c r="AM19">
        <f t="shared" si="54"/>
        <v>0.64517106172791239</v>
      </c>
      <c r="AN19">
        <f t="shared" si="55"/>
        <v>8</v>
      </c>
      <c r="AO19">
        <f t="shared" si="20"/>
        <v>1.3243902407212884</v>
      </c>
      <c r="AQ19">
        <f t="shared" si="150"/>
        <v>185.43339133787634</v>
      </c>
      <c r="AR19">
        <f t="shared" si="56"/>
        <v>-1.5310839387556252</v>
      </c>
      <c r="AS19">
        <f t="shared" si="57"/>
        <v>3.0413417938561085</v>
      </c>
      <c r="AT19">
        <f t="shared" si="58"/>
        <v>0.54693032509744632</v>
      </c>
      <c r="AU19">
        <f t="shared" si="59"/>
        <v>0.54693032509744632</v>
      </c>
      <c r="AV19">
        <f t="shared" si="60"/>
        <v>0</v>
      </c>
      <c r="AW19">
        <f t="shared" si="21"/>
        <v>0.54693032509744632</v>
      </c>
      <c r="AZ19" t="s">
        <v>78</v>
      </c>
      <c r="BG19">
        <f t="shared" si="17"/>
        <v>2.8720227325391559</v>
      </c>
      <c r="BH19">
        <f t="shared" si="61"/>
        <v>0.31599148971376317</v>
      </c>
      <c r="BI19">
        <f t="shared" si="62"/>
        <v>0.74546088367566687</v>
      </c>
      <c r="BJ19">
        <f t="shared" si="63"/>
        <v>8</v>
      </c>
      <c r="BK19">
        <f t="shared" si="22"/>
        <v>2.0694631440782327</v>
      </c>
      <c r="BM19">
        <f t="shared" si="151"/>
        <v>289.75415044298018</v>
      </c>
      <c r="BN19">
        <f t="shared" si="64"/>
        <v>0.3638131563595991</v>
      </c>
      <c r="BO19">
        <f t="shared" si="65"/>
        <v>1.4452032790146525</v>
      </c>
      <c r="BP19">
        <f t="shared" si="66"/>
        <v>0.54693032509744632</v>
      </c>
      <c r="BQ19">
        <f t="shared" si="67"/>
        <v>0.54693032509744632</v>
      </c>
      <c r="BR19">
        <f t="shared" si="68"/>
        <v>0</v>
      </c>
      <c r="BS19">
        <f t="shared" si="23"/>
        <v>0.54693032509744632</v>
      </c>
      <c r="BW19">
        <f t="shared" si="69"/>
        <v>0.33819739855093622</v>
      </c>
      <c r="BX19">
        <f t="shared" si="70"/>
        <v>0.68837154245161514</v>
      </c>
      <c r="BY19">
        <f t="shared" si="71"/>
        <v>8</v>
      </c>
      <c r="BZ19">
        <f t="shared" si="24"/>
        <v>1.6881001340156634</v>
      </c>
      <c r="CB19">
        <f t="shared" si="152"/>
        <v>236.35792770412274</v>
      </c>
      <c r="CC19">
        <f t="shared" si="72"/>
        <v>-1.201556984350771</v>
      </c>
      <c r="CD19">
        <f t="shared" si="73"/>
        <v>0.95930918080839955</v>
      </c>
      <c r="CE19">
        <f t="shared" si="74"/>
        <v>0.54693032509744632</v>
      </c>
      <c r="CF19">
        <f t="shared" si="75"/>
        <v>0.54693032509744632</v>
      </c>
      <c r="CG19">
        <f t="shared" si="76"/>
        <v>0</v>
      </c>
      <c r="CH19">
        <f t="shared" si="25"/>
        <v>0.54693032509744632</v>
      </c>
      <c r="CK19" s="17">
        <f t="shared" si="77"/>
        <v>0.34250528724446094</v>
      </c>
      <c r="CL19" s="18">
        <f t="shared" si="78"/>
        <v>0.66529916965943747</v>
      </c>
      <c r="CM19" s="18">
        <f t="shared" si="79"/>
        <v>8</v>
      </c>
      <c r="CN19" s="18">
        <f t="shared" si="26"/>
        <v>1.5040394442096616</v>
      </c>
      <c r="CO19" s="18"/>
      <c r="CP19" s="18">
        <f t="shared" si="153"/>
        <v>210.58682423832903</v>
      </c>
      <c r="CQ19" s="18">
        <f t="shared" si="80"/>
        <v>-1.5207381028884555</v>
      </c>
      <c r="CR19" s="18">
        <f t="shared" si="81"/>
        <v>0.89978389698239503</v>
      </c>
      <c r="CS19" s="18">
        <f t="shared" si="82"/>
        <v>0.54693032509744632</v>
      </c>
      <c r="CT19" s="18">
        <f t="shared" si="83"/>
        <v>0.54693032509744632</v>
      </c>
      <c r="CU19" s="18">
        <f t="shared" si="84"/>
        <v>0</v>
      </c>
      <c r="CV19" s="18">
        <f t="shared" si="27"/>
        <v>0.54693032509744632</v>
      </c>
      <c r="CW19" s="18"/>
      <c r="CX19" s="19"/>
      <c r="CY19" s="17">
        <f t="shared" si="85"/>
        <v>0.34261036632268493</v>
      </c>
      <c r="CZ19" s="18">
        <f t="shared" si="86"/>
        <v>0.65489641542958288</v>
      </c>
      <c r="DA19" s="18">
        <f t="shared" si="87"/>
        <v>8</v>
      </c>
      <c r="DB19" s="18">
        <f t="shared" si="28"/>
        <v>1.4136739502183002</v>
      </c>
      <c r="DC19" s="18"/>
      <c r="DD19" s="18">
        <f t="shared" si="154"/>
        <v>197.93437521271963</v>
      </c>
      <c r="DE19" s="18">
        <f t="shared" si="88"/>
        <v>-1.5637773085135689</v>
      </c>
      <c r="DF19" s="18">
        <f t="shared" si="89"/>
        <v>0.16100130344731545</v>
      </c>
      <c r="DG19" s="18">
        <f t="shared" si="90"/>
        <v>0.54693032509744632</v>
      </c>
      <c r="DH19" s="18">
        <f t="shared" si="91"/>
        <v>0.54693032509744632</v>
      </c>
      <c r="DI19" s="18">
        <f t="shared" si="92"/>
        <v>0</v>
      </c>
      <c r="DJ19" s="18">
        <f t="shared" si="29"/>
        <v>0.54693032509744632</v>
      </c>
      <c r="DK19" s="18"/>
      <c r="DL19" s="19"/>
      <c r="DM19" s="17">
        <f t="shared" si="93"/>
        <v>0.34206272357272066</v>
      </c>
      <c r="DN19" s="18">
        <f t="shared" si="94"/>
        <v>0.64995249567296975</v>
      </c>
      <c r="DO19" s="18">
        <f t="shared" si="95"/>
        <v>8</v>
      </c>
      <c r="DP19" s="18">
        <f t="shared" si="30"/>
        <v>1.3688987313466383</v>
      </c>
      <c r="DQ19" s="18"/>
      <c r="DR19" s="18">
        <f t="shared" si="155"/>
        <v>191.66521040919008</v>
      </c>
      <c r="DS19" s="18">
        <f t="shared" si="96"/>
        <v>-1.5567670566885499</v>
      </c>
      <c r="DT19" s="18">
        <f t="shared" si="97"/>
        <v>1.5454199682486305</v>
      </c>
      <c r="DU19" s="18">
        <f t="shared" si="98"/>
        <v>0.54693032509744632</v>
      </c>
      <c r="DV19" s="18">
        <f t="shared" si="99"/>
        <v>0.54693032509744632</v>
      </c>
      <c r="DW19" s="18">
        <f t="shared" si="100"/>
        <v>0</v>
      </c>
      <c r="DX19" s="18">
        <f t="shared" si="31"/>
        <v>0.54693032509744632</v>
      </c>
      <c r="DY19" s="18"/>
      <c r="DZ19" s="19"/>
      <c r="EA19" s="17">
        <f t="shared" si="101"/>
        <v>0.34162725515046544</v>
      </c>
      <c r="EB19" s="18">
        <f t="shared" si="102"/>
        <v>0.64754188250621314</v>
      </c>
      <c r="EC19" s="18">
        <f t="shared" si="103"/>
        <v>8</v>
      </c>
      <c r="ED19" s="18">
        <f t="shared" si="32"/>
        <v>1.3466114077289786</v>
      </c>
      <c r="EE19" s="18"/>
      <c r="EF19" s="18">
        <f t="shared" si="156"/>
        <v>188.54466944233985</v>
      </c>
      <c r="EG19" s="18">
        <f t="shared" si="104"/>
        <v>2.4555113476129143E-2</v>
      </c>
      <c r="EH19" s="18">
        <f t="shared" si="105"/>
        <v>2.2799030856700391</v>
      </c>
      <c r="EI19" s="18">
        <f t="shared" si="106"/>
        <v>0.54693032509744632</v>
      </c>
      <c r="EJ19" s="18">
        <f t="shared" si="107"/>
        <v>0.54693032509744632</v>
      </c>
      <c r="EK19" s="18">
        <f t="shared" si="108"/>
        <v>0</v>
      </c>
      <c r="EL19" s="18">
        <f t="shared" si="33"/>
        <v>0.54693032509744632</v>
      </c>
      <c r="EM19" s="18"/>
      <c r="EN19" s="19"/>
      <c r="EO19" s="17">
        <f t="shared" si="109"/>
        <v>0.34136764985143175</v>
      </c>
      <c r="EP19" s="18">
        <f t="shared" si="110"/>
        <v>0.64635154898866432</v>
      </c>
      <c r="EQ19" s="18">
        <f t="shared" si="111"/>
        <v>8</v>
      </c>
      <c r="ER19" s="18">
        <f t="shared" si="34"/>
        <v>1.3354925892822076</v>
      </c>
      <c r="ES19" s="18"/>
      <c r="ET19" s="18">
        <f t="shared" si="157"/>
        <v>186.98787738146513</v>
      </c>
      <c r="EU19" s="18">
        <f t="shared" si="112"/>
        <v>-0.75384091696123445</v>
      </c>
      <c r="EV19" s="18">
        <f t="shared" si="113"/>
        <v>1.0865123035855182</v>
      </c>
      <c r="EW19" s="18">
        <f t="shared" si="114"/>
        <v>0.54693032509744632</v>
      </c>
      <c r="EX19" s="18">
        <f t="shared" si="115"/>
        <v>0.54693032509744632</v>
      </c>
      <c r="EY19" s="18">
        <f t="shared" si="116"/>
        <v>0</v>
      </c>
      <c r="EZ19" s="18">
        <f t="shared" si="35"/>
        <v>0.54693032509744632</v>
      </c>
      <c r="FA19" s="18"/>
      <c r="FB19" s="19"/>
      <c r="FC19" s="17">
        <f t="shared" si="117"/>
        <v>0.34122719708360172</v>
      </c>
      <c r="FD19" s="18">
        <f t="shared" si="118"/>
        <v>0.64576008088552284</v>
      </c>
      <c r="FE19" s="18">
        <f t="shared" si="119"/>
        <v>8</v>
      </c>
      <c r="FF19" s="18">
        <f t="shared" si="36"/>
        <v>1.3299393607040082</v>
      </c>
      <c r="FG19" s="18"/>
      <c r="FH19" s="18">
        <f t="shared" si="158"/>
        <v>186.21034672889169</v>
      </c>
      <c r="FI19" s="18">
        <f t="shared" si="120"/>
        <v>-1.1426062432479507</v>
      </c>
      <c r="FJ19" s="18">
        <f t="shared" si="121"/>
        <v>0.49230911180902814</v>
      </c>
      <c r="FK19" s="18">
        <f t="shared" si="122"/>
        <v>0.54693032509744632</v>
      </c>
      <c r="FL19" s="18">
        <f t="shared" si="123"/>
        <v>0.54693032509744632</v>
      </c>
      <c r="FM19" s="18">
        <f t="shared" si="124"/>
        <v>0</v>
      </c>
      <c r="FN19" s="18">
        <f t="shared" si="37"/>
        <v>0.54693032509744632</v>
      </c>
      <c r="FO19" s="18"/>
      <c r="FP19" s="19"/>
      <c r="FQ19" s="17">
        <f t="shared" si="125"/>
        <v>0.341154285399137</v>
      </c>
      <c r="FR19" s="18">
        <f t="shared" si="126"/>
        <v>0.645465265973724</v>
      </c>
      <c r="FS19" s="18">
        <f t="shared" si="127"/>
        <v>8</v>
      </c>
      <c r="FT19" s="18">
        <f t="shared" si="38"/>
        <v>1.327164287699665</v>
      </c>
      <c r="FU19" s="18"/>
      <c r="FV19" s="18">
        <f t="shared" si="159"/>
        <v>185.82179720430042</v>
      </c>
      <c r="FW19" s="18">
        <f t="shared" si="128"/>
        <v>-1.3368810055435851</v>
      </c>
      <c r="FX19" s="18">
        <f t="shared" si="129"/>
        <v>0.19582457187445335</v>
      </c>
      <c r="FY19" s="18">
        <f t="shared" si="130"/>
        <v>0.54693032509744632</v>
      </c>
      <c r="FZ19" s="18">
        <f t="shared" si="131"/>
        <v>0.54693032509744632</v>
      </c>
      <c r="GA19" s="18">
        <f t="shared" si="132"/>
        <v>0</v>
      </c>
      <c r="GB19" s="18">
        <f t="shared" si="39"/>
        <v>0.54693032509744632</v>
      </c>
      <c r="GC19" s="18"/>
      <c r="GD19" s="19"/>
      <c r="GE19" s="17">
        <f t="shared" si="133"/>
        <v>0.34107957484600404</v>
      </c>
      <c r="GF19" s="18">
        <f t="shared" si="134"/>
        <v>0.64517106172791239</v>
      </c>
      <c r="GG19" s="18">
        <f t="shared" si="135"/>
        <v>8</v>
      </c>
      <c r="GH19" s="18">
        <f t="shared" si="40"/>
        <v>1.3243902407212884</v>
      </c>
      <c r="GI19" s="18"/>
      <c r="GJ19" s="18">
        <f t="shared" si="160"/>
        <v>185.43339133787634</v>
      </c>
      <c r="GK19" s="18">
        <f t="shared" si="136"/>
        <v>-1.5310839387556252</v>
      </c>
      <c r="GL19" s="18">
        <f t="shared" si="137"/>
        <v>3.0413417938561085</v>
      </c>
      <c r="GM19" s="18">
        <f t="shared" si="138"/>
        <v>0.54693032509744632</v>
      </c>
      <c r="GN19" s="18">
        <f t="shared" si="139"/>
        <v>0.54693032509744632</v>
      </c>
      <c r="GO19" s="18">
        <f t="shared" si="140"/>
        <v>0</v>
      </c>
      <c r="GP19" s="18">
        <f t="shared" si="41"/>
        <v>0.54693032509744632</v>
      </c>
      <c r="GQ19" s="18"/>
      <c r="GR19" s="19"/>
      <c r="GS19" s="17">
        <f t="shared" si="141"/>
        <v>0.34092473114564403</v>
      </c>
      <c r="GT19" s="18">
        <f t="shared" si="142"/>
        <v>0.6445844789764037</v>
      </c>
      <c r="GU19" s="18">
        <f t="shared" si="143"/>
        <v>8</v>
      </c>
      <c r="GV19" s="18">
        <f t="shared" si="42"/>
        <v>1.3188452203053145</v>
      </c>
      <c r="GW19" s="18"/>
      <c r="GX19" s="18">
        <f t="shared" si="161"/>
        <v>184.65700994426851</v>
      </c>
      <c r="GY19" s="18">
        <f t="shared" si="144"/>
        <v>1.2223180180302506</v>
      </c>
      <c r="GZ19" s="18">
        <f t="shared" si="145"/>
        <v>2.4504115155025232</v>
      </c>
      <c r="HA19" s="18">
        <f t="shared" si="146"/>
        <v>0.54693032509744632</v>
      </c>
      <c r="HB19" s="18">
        <f t="shared" si="147"/>
        <v>0.54693032509744632</v>
      </c>
      <c r="HC19" s="18">
        <f t="shared" si="148"/>
        <v>0</v>
      </c>
      <c r="HD19" s="18">
        <f t="shared" si="43"/>
        <v>0.54693032509744632</v>
      </c>
      <c r="HE19" s="18"/>
      <c r="HF19" s="19"/>
    </row>
    <row r="20" spans="1:214">
      <c r="A20">
        <f t="shared" si="8"/>
        <v>14</v>
      </c>
      <c r="N20">
        <f t="shared" si="44"/>
        <v>0.34092473114564403</v>
      </c>
      <c r="P20">
        <f t="shared" si="46"/>
        <v>9</v>
      </c>
      <c r="AB20">
        <f t="shared" ref="AB20:AB27" si="163">AB19+1</f>
        <v>3</v>
      </c>
      <c r="AC20">
        <f t="shared" si="162"/>
        <v>2.8125</v>
      </c>
      <c r="AE20" t="s">
        <v>37</v>
      </c>
      <c r="AL20">
        <f t="shared" si="53"/>
        <v>0.34107957484600404</v>
      </c>
      <c r="AN20">
        <f t="shared" si="55"/>
        <v>9</v>
      </c>
      <c r="AZ20" t="s">
        <v>79</v>
      </c>
      <c r="BH20">
        <f t="shared" si="61"/>
        <v>0.31599148971376317</v>
      </c>
      <c r="BJ20">
        <f t="shared" si="63"/>
        <v>9</v>
      </c>
      <c r="BW20">
        <f t="shared" si="69"/>
        <v>0.33819739855093622</v>
      </c>
      <c r="BY20">
        <f t="shared" si="71"/>
        <v>9</v>
      </c>
      <c r="CK20" s="17">
        <f t="shared" si="77"/>
        <v>0.34250528724446094</v>
      </c>
      <c r="CL20" s="18"/>
      <c r="CM20" s="18">
        <f t="shared" si="79"/>
        <v>9</v>
      </c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9"/>
      <c r="CY20" s="17">
        <f t="shared" si="85"/>
        <v>0.34261036632268493</v>
      </c>
      <c r="CZ20" s="18"/>
      <c r="DA20" s="18">
        <f t="shared" si="87"/>
        <v>9</v>
      </c>
      <c r="DB20" s="18"/>
      <c r="DC20" s="18"/>
      <c r="DD20" s="18"/>
      <c r="DE20" s="18"/>
      <c r="DF20" s="18"/>
      <c r="DG20" s="18"/>
      <c r="DH20" s="18"/>
      <c r="DI20" s="18"/>
      <c r="DJ20" s="18"/>
      <c r="DK20" s="18"/>
      <c r="DL20" s="19"/>
      <c r="DM20" s="17">
        <f t="shared" si="93"/>
        <v>0.34206272357272066</v>
      </c>
      <c r="DN20" s="18"/>
      <c r="DO20" s="18">
        <f t="shared" si="95"/>
        <v>9</v>
      </c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DZ20" s="19"/>
      <c r="EA20" s="17">
        <f t="shared" si="101"/>
        <v>0.34162725515046544</v>
      </c>
      <c r="EB20" s="18"/>
      <c r="EC20" s="18">
        <f t="shared" si="103"/>
        <v>9</v>
      </c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9"/>
      <c r="EO20" s="17">
        <f t="shared" si="109"/>
        <v>0.34136764985143175</v>
      </c>
      <c r="EP20" s="18"/>
      <c r="EQ20" s="18">
        <f t="shared" si="111"/>
        <v>9</v>
      </c>
      <c r="ER20" s="18"/>
      <c r="ES20" s="18"/>
      <c r="ET20" s="18"/>
      <c r="EU20" s="18"/>
      <c r="EV20" s="18"/>
      <c r="EW20" s="18"/>
      <c r="EX20" s="18"/>
      <c r="EY20" s="18"/>
      <c r="EZ20" s="18"/>
      <c r="FA20" s="18"/>
      <c r="FB20" s="19"/>
      <c r="FC20" s="17">
        <f t="shared" si="117"/>
        <v>0.34122719708360172</v>
      </c>
      <c r="FD20" s="18"/>
      <c r="FE20" s="18">
        <f t="shared" si="119"/>
        <v>9</v>
      </c>
      <c r="FF20" s="18"/>
      <c r="FG20" s="18"/>
      <c r="FH20" s="18"/>
      <c r="FI20" s="18"/>
      <c r="FJ20" s="18"/>
      <c r="FK20" s="18"/>
      <c r="FL20" s="18"/>
      <c r="FM20" s="18"/>
      <c r="FN20" s="18"/>
      <c r="FO20" s="18"/>
      <c r="FP20" s="19"/>
      <c r="FQ20" s="17">
        <f t="shared" si="125"/>
        <v>0.341154285399137</v>
      </c>
      <c r="FR20" s="18"/>
      <c r="FS20" s="18">
        <f t="shared" si="127"/>
        <v>9</v>
      </c>
      <c r="FT20" s="18"/>
      <c r="FU20" s="18"/>
      <c r="FV20" s="18"/>
      <c r="FW20" s="18"/>
      <c r="FX20" s="18"/>
      <c r="FY20" s="18"/>
      <c r="FZ20" s="18"/>
      <c r="GA20" s="18"/>
      <c r="GB20" s="18"/>
      <c r="GC20" s="18"/>
      <c r="GD20" s="19"/>
      <c r="GE20" s="17">
        <f t="shared" si="133"/>
        <v>0.34107957484600404</v>
      </c>
      <c r="GF20" s="18"/>
      <c r="GG20" s="18">
        <f t="shared" si="135"/>
        <v>9</v>
      </c>
      <c r="GH20" s="18"/>
      <c r="GI20" s="18"/>
      <c r="GJ20" s="18"/>
      <c r="GK20" s="18"/>
      <c r="GL20" s="18"/>
      <c r="GM20" s="18"/>
      <c r="GN20" s="18"/>
      <c r="GO20" s="18"/>
      <c r="GP20" s="18"/>
      <c r="GQ20" s="18"/>
      <c r="GR20" s="19"/>
      <c r="GS20" s="17">
        <f t="shared" si="141"/>
        <v>0.34092473114564403</v>
      </c>
      <c r="GT20" s="18"/>
      <c r="GU20" s="18">
        <f t="shared" si="143"/>
        <v>9</v>
      </c>
      <c r="GV20" s="18"/>
      <c r="GW20" s="18"/>
      <c r="GX20" s="18"/>
      <c r="GY20" s="18"/>
      <c r="GZ20" s="18"/>
      <c r="HA20" s="18"/>
      <c r="HB20" s="18"/>
      <c r="HC20" s="18"/>
      <c r="HD20" s="18"/>
      <c r="HE20" s="18"/>
      <c r="HF20" s="19"/>
    </row>
    <row r="21" spans="1:214">
      <c r="A21">
        <f t="shared" si="8"/>
        <v>15</v>
      </c>
      <c r="U21" t="s">
        <v>68</v>
      </c>
      <c r="V21">
        <f>PI()/20</f>
        <v>0.15707963267948966</v>
      </c>
      <c r="AB21">
        <f t="shared" si="163"/>
        <v>4</v>
      </c>
      <c r="AC21">
        <f t="shared" si="162"/>
        <v>1.40625</v>
      </c>
      <c r="AE21" t="s">
        <v>38</v>
      </c>
      <c r="AS21" t="s">
        <v>68</v>
      </c>
      <c r="AT21">
        <f>PI()/20</f>
        <v>0.15707963267948966</v>
      </c>
      <c r="AZ21" t="s">
        <v>80</v>
      </c>
      <c r="BO21" t="s">
        <v>68</v>
      </c>
      <c r="BP21">
        <f>PI()/20</f>
        <v>0.15707963267948966</v>
      </c>
      <c r="CD21" t="s">
        <v>68</v>
      </c>
      <c r="CE21">
        <f>PI()/20</f>
        <v>0.15707963267948966</v>
      </c>
      <c r="CK21" s="17"/>
      <c r="CL21" s="18"/>
      <c r="CM21" s="18"/>
      <c r="CN21" s="18"/>
      <c r="CO21" s="18"/>
      <c r="CP21" s="18"/>
      <c r="CQ21" s="18"/>
      <c r="CR21" s="18" t="s">
        <v>68</v>
      </c>
      <c r="CS21" s="18">
        <f>PI()/20</f>
        <v>0.15707963267948966</v>
      </c>
      <c r="CT21" s="18"/>
      <c r="CU21" s="18"/>
      <c r="CV21" s="18"/>
      <c r="CW21" s="18"/>
      <c r="CX21" s="19"/>
      <c r="CY21" s="17"/>
      <c r="CZ21" s="18"/>
      <c r="DA21" s="18"/>
      <c r="DB21" s="18"/>
      <c r="DC21" s="18"/>
      <c r="DD21" s="18"/>
      <c r="DE21" s="18"/>
      <c r="DF21" s="18" t="s">
        <v>68</v>
      </c>
      <c r="DG21" s="18">
        <f>PI()/20</f>
        <v>0.15707963267948966</v>
      </c>
      <c r="DH21" s="18"/>
      <c r="DI21" s="18"/>
      <c r="DJ21" s="18"/>
      <c r="DK21" s="18"/>
      <c r="DL21" s="19"/>
      <c r="DM21" s="17"/>
      <c r="DN21" s="18"/>
      <c r="DO21" s="18"/>
      <c r="DP21" s="18"/>
      <c r="DQ21" s="18"/>
      <c r="DR21" s="18"/>
      <c r="DS21" s="18"/>
      <c r="DT21" s="18" t="s">
        <v>68</v>
      </c>
      <c r="DU21" s="18">
        <f>PI()/20</f>
        <v>0.15707963267948966</v>
      </c>
      <c r="DV21" s="18"/>
      <c r="DW21" s="18"/>
      <c r="DX21" s="18"/>
      <c r="DY21" s="18"/>
      <c r="DZ21" s="19"/>
      <c r="EA21" s="17"/>
      <c r="EB21" s="18"/>
      <c r="EC21" s="18"/>
      <c r="ED21" s="18"/>
      <c r="EE21" s="18"/>
      <c r="EF21" s="18"/>
      <c r="EG21" s="18"/>
      <c r="EH21" s="18" t="s">
        <v>68</v>
      </c>
      <c r="EI21" s="18">
        <f>PI()/20</f>
        <v>0.15707963267948966</v>
      </c>
      <c r="EJ21" s="18"/>
      <c r="EK21" s="18"/>
      <c r="EL21" s="18"/>
      <c r="EM21" s="18"/>
      <c r="EN21" s="19"/>
      <c r="EO21" s="17"/>
      <c r="EP21" s="18"/>
      <c r="EQ21" s="18"/>
      <c r="ER21" s="18"/>
      <c r="ES21" s="18"/>
      <c r="ET21" s="18"/>
      <c r="EU21" s="18"/>
      <c r="EV21" s="18" t="s">
        <v>68</v>
      </c>
      <c r="EW21" s="18">
        <f>PI()/20</f>
        <v>0.15707963267948966</v>
      </c>
      <c r="EX21" s="18"/>
      <c r="EY21" s="18"/>
      <c r="EZ21" s="18"/>
      <c r="FA21" s="18"/>
      <c r="FB21" s="19"/>
      <c r="FC21" s="17"/>
      <c r="FD21" s="18"/>
      <c r="FE21" s="18"/>
      <c r="FF21" s="18"/>
      <c r="FG21" s="18"/>
      <c r="FH21" s="18"/>
      <c r="FI21" s="18"/>
      <c r="FJ21" s="18" t="s">
        <v>68</v>
      </c>
      <c r="FK21" s="18">
        <f>PI()/20</f>
        <v>0.15707963267948966</v>
      </c>
      <c r="FL21" s="18"/>
      <c r="FM21" s="18"/>
      <c r="FN21" s="18"/>
      <c r="FO21" s="18"/>
      <c r="FP21" s="19"/>
      <c r="FQ21" s="17"/>
      <c r="FR21" s="18"/>
      <c r="FS21" s="18"/>
      <c r="FT21" s="18"/>
      <c r="FU21" s="18"/>
      <c r="FV21" s="18"/>
      <c r="FW21" s="18"/>
      <c r="FX21" s="18" t="s">
        <v>68</v>
      </c>
      <c r="FY21" s="18">
        <f>PI()/20</f>
        <v>0.15707963267948966</v>
      </c>
      <c r="FZ21" s="18"/>
      <c r="GA21" s="18"/>
      <c r="GB21" s="18"/>
      <c r="GC21" s="18"/>
      <c r="GD21" s="19"/>
      <c r="GE21" s="17"/>
      <c r="GF21" s="18"/>
      <c r="GG21" s="18"/>
      <c r="GH21" s="18"/>
      <c r="GI21" s="18"/>
      <c r="GJ21" s="18"/>
      <c r="GK21" s="18"/>
      <c r="GL21" s="18" t="s">
        <v>68</v>
      </c>
      <c r="GM21" s="18">
        <f>PI()/20</f>
        <v>0.15707963267948966</v>
      </c>
      <c r="GN21" s="18"/>
      <c r="GO21" s="18"/>
      <c r="GP21" s="18"/>
      <c r="GQ21" s="18"/>
      <c r="GR21" s="19"/>
      <c r="GS21" s="17"/>
      <c r="GT21" s="18"/>
      <c r="GU21" s="18"/>
      <c r="GV21" s="18"/>
      <c r="GW21" s="18"/>
      <c r="GX21" s="18"/>
      <c r="GY21" s="18"/>
      <c r="GZ21" s="18" t="s">
        <v>68</v>
      </c>
      <c r="HA21" s="18">
        <f>PI()/20</f>
        <v>0.15707963267948966</v>
      </c>
      <c r="HB21" s="18"/>
      <c r="HC21" s="18"/>
      <c r="HD21" s="18"/>
      <c r="HE21" s="18"/>
      <c r="HF21" s="19"/>
    </row>
    <row r="22" spans="1:214" ht="25.5">
      <c r="A22">
        <f t="shared" si="8"/>
        <v>16</v>
      </c>
      <c r="N22" s="4" t="s">
        <v>26</v>
      </c>
      <c r="Q22" s="4" t="s">
        <v>20</v>
      </c>
      <c r="AA22" s="4" t="s">
        <v>27</v>
      </c>
      <c r="AB22">
        <f t="shared" si="163"/>
        <v>5</v>
      </c>
      <c r="AC22">
        <f t="shared" si="162"/>
        <v>0.703125</v>
      </c>
      <c r="AE22" t="s">
        <v>39</v>
      </c>
      <c r="AL22" s="4" t="s">
        <v>26</v>
      </c>
      <c r="AO22" s="4" t="s">
        <v>20</v>
      </c>
      <c r="AU22" t="s">
        <v>152</v>
      </c>
      <c r="AV22" t="s">
        <v>150</v>
      </c>
      <c r="AW22">
        <f>scurrent/polepsilon</f>
        <v>3.9660954998810753</v>
      </c>
      <c r="AY22" s="4" t="s">
        <v>27</v>
      </c>
      <c r="AZ22" t="s">
        <v>81</v>
      </c>
      <c r="BH22" s="4" t="s">
        <v>26</v>
      </c>
      <c r="BK22" s="4" t="s">
        <v>20</v>
      </c>
      <c r="BS22">
        <f>SARX</f>
        <v>4.0047356585889151</v>
      </c>
      <c r="BU22" s="4" t="s">
        <v>27</v>
      </c>
      <c r="BW22" s="4" t="s">
        <v>26</v>
      </c>
      <c r="BZ22" s="4" t="s">
        <v>20</v>
      </c>
      <c r="CH22">
        <f>SARX</f>
        <v>4.0047356585889151</v>
      </c>
      <c r="CJ22" s="4" t="s">
        <v>27</v>
      </c>
      <c r="CK22" s="22" t="s">
        <v>26</v>
      </c>
      <c r="CL22" s="18"/>
      <c r="CM22" s="18"/>
      <c r="CN22" s="23" t="s">
        <v>20</v>
      </c>
      <c r="CO22" s="18"/>
      <c r="CP22" s="18"/>
      <c r="CQ22" s="18"/>
      <c r="CR22" s="18"/>
      <c r="CS22" s="18"/>
      <c r="CT22" s="18"/>
      <c r="CU22" s="18"/>
      <c r="CV22" s="18">
        <f>SARX</f>
        <v>4.0047356585889151</v>
      </c>
      <c r="CW22" s="18"/>
      <c r="CX22" s="24" t="s">
        <v>27</v>
      </c>
      <c r="CY22" s="22" t="s">
        <v>26</v>
      </c>
      <c r="CZ22" s="18"/>
      <c r="DA22" s="18"/>
      <c r="DB22" s="23" t="s">
        <v>20</v>
      </c>
      <c r="DC22" s="18"/>
      <c r="DD22" s="18"/>
      <c r="DE22" s="18"/>
      <c r="DF22" s="18"/>
      <c r="DG22" s="18"/>
      <c r="DH22" s="18"/>
      <c r="DI22" s="18"/>
      <c r="DJ22" s="18">
        <f>SARX</f>
        <v>4.0047356585889151</v>
      </c>
      <c r="DK22" s="18"/>
      <c r="DL22" s="24" t="s">
        <v>27</v>
      </c>
      <c r="DM22" s="22" t="s">
        <v>26</v>
      </c>
      <c r="DN22" s="18"/>
      <c r="DO22" s="18"/>
      <c r="DP22" s="23" t="s">
        <v>20</v>
      </c>
      <c r="DQ22" s="18"/>
      <c r="DR22" s="18"/>
      <c r="DS22" s="18"/>
      <c r="DT22" s="18"/>
      <c r="DU22" s="18"/>
      <c r="DV22" s="18"/>
      <c r="DW22" s="18"/>
      <c r="DX22" s="18">
        <f>SARX</f>
        <v>4.0047356585889151</v>
      </c>
      <c r="DY22" s="18"/>
      <c r="DZ22" s="24" t="s">
        <v>27</v>
      </c>
      <c r="EA22" s="22" t="s">
        <v>26</v>
      </c>
      <c r="EB22" s="18"/>
      <c r="EC22" s="18"/>
      <c r="ED22" s="23" t="s">
        <v>20</v>
      </c>
      <c r="EE22" s="18"/>
      <c r="EF22" s="18"/>
      <c r="EG22" s="18"/>
      <c r="EH22" s="18"/>
      <c r="EI22" s="18"/>
      <c r="EJ22" s="18"/>
      <c r="EK22" s="18"/>
      <c r="EL22" s="18">
        <f>SARX</f>
        <v>4.0047356585889151</v>
      </c>
      <c r="EM22" s="18"/>
      <c r="EN22" s="24" t="s">
        <v>27</v>
      </c>
      <c r="EO22" s="22" t="s">
        <v>26</v>
      </c>
      <c r="EP22" s="18"/>
      <c r="EQ22" s="18"/>
      <c r="ER22" s="23" t="s">
        <v>20</v>
      </c>
      <c r="ES22" s="18"/>
      <c r="ET22" s="18"/>
      <c r="EU22" s="18"/>
      <c r="EV22" s="18"/>
      <c r="EW22" s="18"/>
      <c r="EX22" s="18"/>
      <c r="EY22" s="18"/>
      <c r="EZ22" s="18">
        <f>SARX</f>
        <v>4.0047356585889151</v>
      </c>
      <c r="FA22" s="18"/>
      <c r="FB22" s="24" t="s">
        <v>27</v>
      </c>
      <c r="FC22" s="22" t="s">
        <v>26</v>
      </c>
      <c r="FD22" s="18"/>
      <c r="FE22" s="18"/>
      <c r="FF22" s="23" t="s">
        <v>20</v>
      </c>
      <c r="FG22" s="18"/>
      <c r="FH22" s="18"/>
      <c r="FI22" s="18"/>
      <c r="FJ22" s="18"/>
      <c r="FK22" s="18"/>
      <c r="FL22" s="18"/>
      <c r="FM22" s="18"/>
      <c r="FN22" s="18">
        <f>SARX</f>
        <v>4.0047356585889151</v>
      </c>
      <c r="FO22" s="18"/>
      <c r="FP22" s="24" t="s">
        <v>27</v>
      </c>
      <c r="FQ22" s="22" t="s">
        <v>26</v>
      </c>
      <c r="FR22" s="18"/>
      <c r="FS22" s="18"/>
      <c r="FT22" s="23" t="s">
        <v>20</v>
      </c>
      <c r="FU22" s="18"/>
      <c r="FV22" s="18"/>
      <c r="FW22" s="18"/>
      <c r="FX22" s="18"/>
      <c r="FY22" s="18"/>
      <c r="FZ22" s="18"/>
      <c r="GA22" s="18"/>
      <c r="GB22" s="18">
        <f>SARX</f>
        <v>4.0047356585889151</v>
      </c>
      <c r="GC22" s="18"/>
      <c r="GD22" s="24" t="s">
        <v>27</v>
      </c>
      <c r="GE22" s="22" t="s">
        <v>26</v>
      </c>
      <c r="GF22" s="18"/>
      <c r="GG22" s="18"/>
      <c r="GH22" s="23" t="s">
        <v>20</v>
      </c>
      <c r="GI22" s="18"/>
      <c r="GJ22" s="18"/>
      <c r="GK22" s="18"/>
      <c r="GL22" s="18"/>
      <c r="GM22" s="18"/>
      <c r="GN22" s="18"/>
      <c r="GO22" s="18"/>
      <c r="GP22" s="18">
        <f>SARX</f>
        <v>4.0047356585889151</v>
      </c>
      <c r="GQ22" s="18"/>
      <c r="GR22" s="24" t="s">
        <v>27</v>
      </c>
      <c r="GS22" s="22" t="s">
        <v>26</v>
      </c>
      <c r="GT22" s="18"/>
      <c r="GU22" s="18"/>
      <c r="GV22" s="23" t="s">
        <v>20</v>
      </c>
      <c r="GW22" s="18"/>
      <c r="GX22" s="18"/>
      <c r="GY22" s="18"/>
      <c r="GZ22" s="18"/>
      <c r="HA22" s="18"/>
      <c r="HB22" s="18"/>
      <c r="HC22" s="18"/>
      <c r="HD22" s="18">
        <f>SARX</f>
        <v>4.0047356585889151</v>
      </c>
      <c r="HE22" s="18"/>
      <c r="HF22" s="24" t="s">
        <v>27</v>
      </c>
    </row>
    <row r="23" spans="1:214" ht="20.25">
      <c r="A23">
        <f t="shared" si="8"/>
        <v>17</v>
      </c>
      <c r="N23">
        <f>MAX(N12:N20)</f>
        <v>0.34193620776581091</v>
      </c>
      <c r="O23">
        <f>MAX(O12:O19)</f>
        <v>0.6294415940657927</v>
      </c>
      <c r="Q23">
        <f>MAX(Q12:Q20)</f>
        <v>1.318845220305314</v>
      </c>
      <c r="AA23" s="5">
        <f>N23+O25/AA9*Q23</f>
        <v>0.83064539027609652</v>
      </c>
      <c r="AB23">
        <f t="shared" si="163"/>
        <v>6</v>
      </c>
      <c r="AC23">
        <f t="shared" si="162"/>
        <v>0.3515625</v>
      </c>
      <c r="AE23" t="s">
        <v>40</v>
      </c>
      <c r="AL23">
        <f>MAX(AL12:AL20)</f>
        <v>0.34204717888631841</v>
      </c>
      <c r="AM23">
        <f>MAX(AM12:AM19)</f>
        <v>0.64517106172791239</v>
      </c>
      <c r="AO23">
        <f>MAX(AO12:AO20)</f>
        <v>1.3243902407212884</v>
      </c>
      <c r="AU23" t="s">
        <v>153</v>
      </c>
      <c r="AV23" t="s">
        <v>149</v>
      </c>
      <c r="AW23">
        <f>ARPLIRON*eplires+AY23</f>
        <v>4.0047356585889151</v>
      </c>
      <c r="AY23" s="5">
        <f>AL23+AM25/AY9*AO23</f>
        <v>0.81197916185936769</v>
      </c>
      <c r="AZ23" t="s">
        <v>82</v>
      </c>
      <c r="BH23">
        <f>MAX(BH12:BH20)</f>
        <v>0.38121588364485781</v>
      </c>
      <c r="BI23">
        <f>MAX(BI12:BI19)</f>
        <v>0.74546088367566687</v>
      </c>
      <c r="BK23">
        <f>MAX(BK12:BK20)</f>
        <v>2.0694631440782327</v>
      </c>
      <c r="BR23" t="s">
        <v>154</v>
      </c>
      <c r="BS23">
        <f>ARPLIRON*eplires+BU23</f>
        <v>4.1007317003338546</v>
      </c>
      <c r="BU23" s="5">
        <f>BH23+BI25/BU9*BK23</f>
        <v>0.90797520360430728</v>
      </c>
      <c r="BW23">
        <f>MAX(BW12:BW20)</f>
        <v>0.37152292321597019</v>
      </c>
      <c r="BX23">
        <f>MAX(BX12:BX19)</f>
        <v>0.68837154245161514</v>
      </c>
      <c r="BZ23">
        <f>MAX(BZ12:BZ20)</f>
        <v>1.6881001340156638</v>
      </c>
      <c r="CG23" t="s">
        <v>158</v>
      </c>
      <c r="CH23">
        <f>ARPLIRON*eplires+CJ23</f>
        <v>4.0903394608960406</v>
      </c>
      <c r="CJ23" s="5">
        <f>BW23+BX25/CJ9*BZ23</f>
        <v>0.89758296416649319</v>
      </c>
      <c r="CK23" s="17">
        <f>MAX(CK12:CK20)</f>
        <v>0.3518517159806045</v>
      </c>
      <c r="CL23" s="18">
        <f>MAX(CL12:CL19)</f>
        <v>0.66529916965943747</v>
      </c>
      <c r="CM23" s="18"/>
      <c r="CN23" s="18">
        <f>MAX(CN12:CN20)</f>
        <v>1.5040394442096616</v>
      </c>
      <c r="CO23" s="18"/>
      <c r="CP23" s="18"/>
      <c r="CQ23" s="18"/>
      <c r="CR23" s="18"/>
      <c r="CS23" s="18"/>
      <c r="CT23" s="18"/>
      <c r="CU23" s="18"/>
      <c r="CV23" s="18">
        <f>ARPLIRON*eplires+CX23</f>
        <v>4.0480114635520836</v>
      </c>
      <c r="CW23" s="18"/>
      <c r="CX23" s="25">
        <f>CK23+CL25/CX9*CN23</f>
        <v>0.85525496682253643</v>
      </c>
      <c r="CY23" s="17">
        <f>MAX(CY12:CY20)</f>
        <v>0.34281164074460491</v>
      </c>
      <c r="CZ23" s="18">
        <f>MAX(CZ12:CZ19)</f>
        <v>0.65489641542958288</v>
      </c>
      <c r="DA23" s="18"/>
      <c r="DB23" s="18">
        <f>MAX(DB12:DB20)</f>
        <v>1.4136739502183002</v>
      </c>
      <c r="DC23" s="18"/>
      <c r="DD23" s="18"/>
      <c r="DE23" s="18"/>
      <c r="DF23" s="18"/>
      <c r="DG23" s="18"/>
      <c r="DH23" s="18"/>
      <c r="DI23" s="18"/>
      <c r="DJ23" s="18">
        <f>ARPLIRON*eplires+DL23</f>
        <v>4.0234320851083094</v>
      </c>
      <c r="DK23" s="18"/>
      <c r="DL23" s="25">
        <f>CY23+CZ25/DL9*DB23</f>
        <v>0.83067558837876176</v>
      </c>
      <c r="DM23" s="17">
        <f>MAX(DM12:DM20)</f>
        <v>0.34265970533617846</v>
      </c>
      <c r="DN23" s="18">
        <f>MAX(DN12:DN19)</f>
        <v>0.64995249567296975</v>
      </c>
      <c r="DO23" s="18"/>
      <c r="DP23" s="18">
        <f>MAX(DP12:DP20)</f>
        <v>1.3688987313466383</v>
      </c>
      <c r="DQ23" s="18"/>
      <c r="DR23" s="18"/>
      <c r="DS23" s="18"/>
      <c r="DT23" s="18"/>
      <c r="DU23" s="18"/>
      <c r="DV23" s="18"/>
      <c r="DW23" s="18"/>
      <c r="DX23" s="18">
        <f>ARPLIRON*eplires+DZ23</f>
        <v>4.0145957866500543</v>
      </c>
      <c r="DY23" s="18"/>
      <c r="DZ23" s="25">
        <f>DM23+DN25/DZ9*DP23</f>
        <v>0.82183928992050703</v>
      </c>
      <c r="EA23" s="17">
        <f>MAX(EA12:EA20)</f>
        <v>0.34241356665910133</v>
      </c>
      <c r="EB23" s="18">
        <f>MAX(EB12:EB19)</f>
        <v>0.64754188250621314</v>
      </c>
      <c r="EC23" s="18"/>
      <c r="ED23" s="18">
        <f>MAX(ED12:ED20)</f>
        <v>1.3466114077289788</v>
      </c>
      <c r="EE23" s="18"/>
      <c r="EF23" s="18"/>
      <c r="EG23" s="18"/>
      <c r="EH23" s="18"/>
      <c r="EI23" s="18"/>
      <c r="EJ23" s="18"/>
      <c r="EK23" s="18"/>
      <c r="EL23" s="18">
        <f>ARPLIRON*eplires+EN23</f>
        <v>4.0097941851524634</v>
      </c>
      <c r="EM23" s="18"/>
      <c r="EN23" s="25">
        <f>EA23+EB25/EN9*ED23</f>
        <v>0.81703768842291558</v>
      </c>
      <c r="EO23" s="17">
        <f>MAX(EO12:EO20)</f>
        <v>0.34224571740565118</v>
      </c>
      <c r="EP23" s="18">
        <f>MAX(EP12:EP19)</f>
        <v>0.64635154898866432</v>
      </c>
      <c r="EQ23" s="18"/>
      <c r="ER23" s="18">
        <f>MAX(ER12:ER20)</f>
        <v>1.335492589282208</v>
      </c>
      <c r="ES23" s="18"/>
      <c r="ET23" s="18"/>
      <c r="EU23" s="18"/>
      <c r="EV23" s="18"/>
      <c r="EW23" s="18"/>
      <c r="EX23" s="18"/>
      <c r="EY23" s="18"/>
      <c r="EZ23" s="18">
        <f>ARPLIRON*eplires+FB23</f>
        <v>4.0072970996719697</v>
      </c>
      <c r="FA23" s="18"/>
      <c r="FB23" s="25">
        <f>EO23+EP25/FB9*ER23</f>
        <v>0.81454060294242203</v>
      </c>
      <c r="FC23" s="17">
        <f>MAX(FC12:FC20)</f>
        <v>0.34215032310173771</v>
      </c>
      <c r="FD23" s="18">
        <f>MAX(FD12:FD19)</f>
        <v>0.64576008088552284</v>
      </c>
      <c r="FE23" s="18"/>
      <c r="FF23" s="18">
        <f>MAX(FF12:FF20)</f>
        <v>1.3299393607040086</v>
      </c>
      <c r="FG23" s="18"/>
      <c r="FH23" s="18"/>
      <c r="FI23" s="18"/>
      <c r="FJ23" s="18"/>
      <c r="FK23" s="18"/>
      <c r="FL23" s="18"/>
      <c r="FM23" s="18"/>
      <c r="FN23" s="18">
        <f>ARPLIRON*eplires+FP23</f>
        <v>4.0060244313942324</v>
      </c>
      <c r="FO23" s="18"/>
      <c r="FP23" s="25">
        <f>FC23+FD25/FP9*FF23</f>
        <v>0.81326793466468517</v>
      </c>
      <c r="FQ23" s="17">
        <f>MAX(FQ12:FQ20)</f>
        <v>0.34209972455666204</v>
      </c>
      <c r="FR23" s="18">
        <f>MAX(FR12:FR19)</f>
        <v>0.645465265973724</v>
      </c>
      <c r="FS23" s="18"/>
      <c r="FT23" s="18">
        <f>MAX(FT12:FT20)</f>
        <v>1.3271642876996652</v>
      </c>
      <c r="FU23" s="18"/>
      <c r="FV23" s="18"/>
      <c r="FW23" s="18"/>
      <c r="FX23" s="18"/>
      <c r="FY23" s="18"/>
      <c r="FZ23" s="18"/>
      <c r="GA23" s="18"/>
      <c r="GB23" s="18">
        <f>ARPLIRON*eplires+GD23</f>
        <v>4.0053820590349822</v>
      </c>
      <c r="GC23" s="18"/>
      <c r="GD23" s="25">
        <f>FQ23+FR25/GD9*FT23</f>
        <v>0.81262556230543481</v>
      </c>
      <c r="GE23" s="17">
        <f>MAX(GE12:GE20)</f>
        <v>0.34204717888631841</v>
      </c>
      <c r="GF23" s="18">
        <f>MAX(GF12:GF19)</f>
        <v>0.64517106172791239</v>
      </c>
      <c r="GG23" s="18"/>
      <c r="GH23" s="18">
        <f>MAX(GH12:GH20)</f>
        <v>1.3243902407212884</v>
      </c>
      <c r="GI23" s="18"/>
      <c r="GJ23" s="18"/>
      <c r="GK23" s="18"/>
      <c r="GL23" s="18"/>
      <c r="GM23" s="18"/>
      <c r="GN23" s="18"/>
      <c r="GO23" s="18"/>
      <c r="GP23" s="18">
        <f>ARPLIRON*eplires+GR23</f>
        <v>4.0047356585889151</v>
      </c>
      <c r="GQ23" s="18"/>
      <c r="GR23" s="25">
        <f>GE23+GF25/GR9*GH23</f>
        <v>0.81197916185936769</v>
      </c>
      <c r="GS23" s="17">
        <f>MAX(GS12:GS20)</f>
        <v>0.34193620776581091</v>
      </c>
      <c r="GT23" s="18">
        <f>MAX(GT12:GT19)</f>
        <v>0.6445844789764037</v>
      </c>
      <c r="GU23" s="18"/>
      <c r="GV23" s="18">
        <f>MAX(GV12:GV20)</f>
        <v>1.3188452203053145</v>
      </c>
      <c r="GW23" s="18"/>
      <c r="GX23" s="18"/>
      <c r="GY23" s="18"/>
      <c r="GZ23" s="18"/>
      <c r="HA23" s="18"/>
      <c r="HB23" s="18"/>
      <c r="HC23" s="18"/>
      <c r="HD23" s="18">
        <f>ARPLIRON*eplires+HF23</f>
        <v>4.0034307656196511</v>
      </c>
      <c r="HE23" s="18"/>
      <c r="HF23" s="25">
        <f>GS23+GT25/HF9*GV23</f>
        <v>0.81067426889010386</v>
      </c>
    </row>
    <row r="24" spans="1:214">
      <c r="A24">
        <f t="shared" si="8"/>
        <v>18</v>
      </c>
      <c r="O24">
        <f>1-O23</f>
        <v>0.3705584059342073</v>
      </c>
      <c r="AB24">
        <f t="shared" si="163"/>
        <v>7</v>
      </c>
      <c r="AC24">
        <f t="shared" si="162"/>
        <v>0.17578125</v>
      </c>
      <c r="AE24" t="s">
        <v>41</v>
      </c>
      <c r="AM24">
        <f>1-AM23</f>
        <v>0.35482893827208761</v>
      </c>
      <c r="AZ24" t="s">
        <v>83</v>
      </c>
      <c r="BI24">
        <f>1-BI23</f>
        <v>0.25453911632433313</v>
      </c>
      <c r="BX24">
        <f>1-BX23</f>
        <v>0.31162845754838486</v>
      </c>
      <c r="CK24" s="17"/>
      <c r="CL24" s="18">
        <f>1-CL23</f>
        <v>0.33470083034056253</v>
      </c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9"/>
      <c r="CY24" s="17"/>
      <c r="CZ24" s="18">
        <f>1-CZ23</f>
        <v>0.34510358457041712</v>
      </c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9"/>
      <c r="DM24" s="17"/>
      <c r="DN24" s="18">
        <f>1-DN23</f>
        <v>0.35004750432703025</v>
      </c>
      <c r="DO24" s="18"/>
      <c r="DP24" s="18"/>
      <c r="DQ24" s="18"/>
      <c r="DR24" s="18"/>
      <c r="DS24" s="18"/>
      <c r="DT24" s="18"/>
      <c r="DU24" s="18"/>
      <c r="DV24" s="18"/>
      <c r="DW24" s="18"/>
      <c r="DX24" s="18"/>
      <c r="DY24" s="18"/>
      <c r="DZ24" s="19"/>
      <c r="EA24" s="17"/>
      <c r="EB24" s="18">
        <f>1-EB23</f>
        <v>0.35245811749378686</v>
      </c>
      <c r="EC24" s="18"/>
      <c r="ED24" s="18"/>
      <c r="EE24" s="18"/>
      <c r="EF24" s="18"/>
      <c r="EG24" s="18"/>
      <c r="EH24" s="18"/>
      <c r="EI24" s="18"/>
      <c r="EJ24" s="18"/>
      <c r="EK24" s="18"/>
      <c r="EL24" s="18"/>
      <c r="EM24" s="18"/>
      <c r="EN24" s="19"/>
      <c r="EO24" s="17"/>
      <c r="EP24" s="18">
        <f>1-EP23</f>
        <v>0.35364845101133568</v>
      </c>
      <c r="EQ24" s="18"/>
      <c r="ER24" s="18"/>
      <c r="ES24" s="18"/>
      <c r="ET24" s="18"/>
      <c r="EU24" s="18"/>
      <c r="EV24" s="18"/>
      <c r="EW24" s="18"/>
      <c r="EX24" s="18"/>
      <c r="EY24" s="18"/>
      <c r="EZ24" s="18"/>
      <c r="FA24" s="18"/>
      <c r="FB24" s="19"/>
      <c r="FC24" s="17"/>
      <c r="FD24" s="18">
        <f>1-FD23</f>
        <v>0.35423991911447716</v>
      </c>
      <c r="FE24" s="18"/>
      <c r="FF24" s="18"/>
      <c r="FG24" s="18"/>
      <c r="FH24" s="18"/>
      <c r="FI24" s="18"/>
      <c r="FJ24" s="18"/>
      <c r="FK24" s="18"/>
      <c r="FL24" s="18"/>
      <c r="FM24" s="18"/>
      <c r="FN24" s="18"/>
      <c r="FO24" s="18"/>
      <c r="FP24" s="19"/>
      <c r="FQ24" s="17"/>
      <c r="FR24" s="18">
        <f>1-FR23</f>
        <v>0.354534734026276</v>
      </c>
      <c r="FS24" s="18"/>
      <c r="FT24" s="18"/>
      <c r="FU24" s="18"/>
      <c r="FV24" s="18"/>
      <c r="FW24" s="18"/>
      <c r="FX24" s="18"/>
      <c r="FY24" s="18"/>
      <c r="FZ24" s="18"/>
      <c r="GA24" s="18"/>
      <c r="GB24" s="18"/>
      <c r="GC24" s="18"/>
      <c r="GD24" s="19"/>
      <c r="GE24" s="17"/>
      <c r="GF24" s="18">
        <f>1-GF23</f>
        <v>0.35482893827208761</v>
      </c>
      <c r="GG24" s="18"/>
      <c r="GH24" s="18"/>
      <c r="GI24" s="18"/>
      <c r="GJ24" s="18"/>
      <c r="GK24" s="18"/>
      <c r="GL24" s="18"/>
      <c r="GM24" s="18"/>
      <c r="GN24" s="18"/>
      <c r="GO24" s="18"/>
      <c r="GP24" s="18"/>
      <c r="GQ24" s="18"/>
      <c r="GR24" s="19"/>
      <c r="GS24" s="17"/>
      <c r="GT24" s="18">
        <f>1-GT23</f>
        <v>0.3554155210235963</v>
      </c>
      <c r="GU24" s="18"/>
      <c r="GV24" s="18"/>
      <c r="GW24" s="18"/>
      <c r="GX24" s="18"/>
      <c r="GY24" s="18"/>
      <c r="GZ24" s="18"/>
      <c r="HA24" s="18"/>
      <c r="HB24" s="18"/>
      <c r="HC24" s="18"/>
      <c r="HD24" s="18"/>
      <c r="HE24" s="18"/>
      <c r="HF24" s="19"/>
    </row>
    <row r="25" spans="1:214" ht="27">
      <c r="A25">
        <f t="shared" si="8"/>
        <v>19</v>
      </c>
      <c r="N25" s="6" t="s">
        <v>28</v>
      </c>
      <c r="O25">
        <f>O24*AA9</f>
        <v>1.0642521655765158</v>
      </c>
      <c r="W25">
        <f>kapaelliptic</f>
        <v>0.97266639233894803</v>
      </c>
      <c r="AB25">
        <f t="shared" si="163"/>
        <v>8</v>
      </c>
      <c r="AC25">
        <f t="shared" si="162"/>
        <v>8.7890625E-2</v>
      </c>
      <c r="AE25" t="s">
        <v>42</v>
      </c>
      <c r="AL25" s="6" t="s">
        <v>28</v>
      </c>
      <c r="AM25">
        <f>AM24*AY9</f>
        <v>1.0190767768801685</v>
      </c>
      <c r="AT25" t="s">
        <v>2</v>
      </c>
      <c r="AU25">
        <f>Maxy*kapa/SQRT(1+(Maxy*kapa)^2)</f>
        <v>0.97266639233894803</v>
      </c>
      <c r="AZ25" t="s">
        <v>84</v>
      </c>
      <c r="BH25" s="6" t="s">
        <v>28</v>
      </c>
      <c r="BI25">
        <f>BI24*BU9</f>
        <v>0.73104212840391325</v>
      </c>
      <c r="BQ25">
        <f>Maxy*kapa/SQRT(1+(Maxy*kapa)^2)</f>
        <v>0.97266639233894803</v>
      </c>
      <c r="BW25" s="6" t="s">
        <v>28</v>
      </c>
      <c r="BX25">
        <f>BX24*CJ9</f>
        <v>0.89500401418507458</v>
      </c>
      <c r="CF25">
        <f>Maxy*kapa/SQRT(1+(Maxy*kapa)^2)</f>
        <v>0.97266639233894803</v>
      </c>
      <c r="CK25" s="26" t="s">
        <v>28</v>
      </c>
      <c r="CL25" s="27">
        <f>CL24*CX9</f>
        <v>0.96126839333782677</v>
      </c>
      <c r="CM25" s="27"/>
      <c r="CN25" s="27"/>
      <c r="CO25" s="27"/>
      <c r="CP25" s="27"/>
      <c r="CQ25" s="27"/>
      <c r="CR25" s="27"/>
      <c r="CS25" s="27"/>
      <c r="CT25" s="27">
        <f>Maxy*kapa/SQRT(1+(Maxy*kapa)^2)</f>
        <v>0.97266639233894803</v>
      </c>
      <c r="CU25" s="27"/>
      <c r="CV25" s="27"/>
      <c r="CW25" s="27"/>
      <c r="CX25" s="28"/>
      <c r="CY25" s="26" t="s">
        <v>28</v>
      </c>
      <c r="CZ25" s="27">
        <f>CZ24*DL9</f>
        <v>0.99114533996698706</v>
      </c>
      <c r="DA25" s="27"/>
      <c r="DB25" s="27"/>
      <c r="DC25" s="27"/>
      <c r="DD25" s="27"/>
      <c r="DE25" s="27"/>
      <c r="DF25" s="27"/>
      <c r="DG25" s="27"/>
      <c r="DH25" s="27">
        <f>Maxy*kapa/SQRT(1+(Maxy*kapa)^2)</f>
        <v>0.97266639233894803</v>
      </c>
      <c r="DI25" s="27"/>
      <c r="DJ25" s="27"/>
      <c r="DK25" s="27"/>
      <c r="DL25" s="28"/>
      <c r="DM25" s="26" t="s">
        <v>28</v>
      </c>
      <c r="DN25" s="27">
        <f>DN24*DZ9</f>
        <v>1.0053443898958294</v>
      </c>
      <c r="DO25" s="27"/>
      <c r="DP25" s="27"/>
      <c r="DQ25" s="27"/>
      <c r="DR25" s="27"/>
      <c r="DS25" s="27"/>
      <c r="DT25" s="27"/>
      <c r="DU25" s="27"/>
      <c r="DV25" s="27">
        <f>Maxy*kapa/SQRT(1+(Maxy*kapa)^2)</f>
        <v>0.97266639233894803</v>
      </c>
      <c r="DW25" s="27"/>
      <c r="DX25" s="27"/>
      <c r="DY25" s="27"/>
      <c r="DZ25" s="28"/>
      <c r="EA25" s="26" t="s">
        <v>28</v>
      </c>
      <c r="EB25" s="27">
        <f>EB24*EN9</f>
        <v>1.0122677257101127</v>
      </c>
      <c r="EC25" s="27"/>
      <c r="ED25" s="27"/>
      <c r="EE25" s="27"/>
      <c r="EF25" s="27"/>
      <c r="EG25" s="27"/>
      <c r="EH25" s="27"/>
      <c r="EI25" s="27"/>
      <c r="EJ25" s="27">
        <f>Maxy*kapa/SQRT(1+(Maxy*kapa)^2)</f>
        <v>0.97266639233894803</v>
      </c>
      <c r="EK25" s="27"/>
      <c r="EL25" s="27"/>
      <c r="EM25" s="27"/>
      <c r="EN25" s="28"/>
      <c r="EO25" s="26" t="s">
        <v>28</v>
      </c>
      <c r="EP25" s="27">
        <f>EP24*FB9</f>
        <v>1.0156863906318161</v>
      </c>
      <c r="EQ25" s="27"/>
      <c r="ER25" s="27"/>
      <c r="ES25" s="27"/>
      <c r="ET25" s="27"/>
      <c r="EU25" s="27"/>
      <c r="EV25" s="27"/>
      <c r="EW25" s="27"/>
      <c r="EX25" s="27">
        <f>Maxy*kapa/SQRT(1+(Maxy*kapa)^2)</f>
        <v>0.97266639233894803</v>
      </c>
      <c r="EY25" s="27"/>
      <c r="EZ25" s="27"/>
      <c r="FA25" s="27"/>
      <c r="FB25" s="28"/>
      <c r="FC25" s="26" t="s">
        <v>28</v>
      </c>
      <c r="FD25" s="27">
        <f>FD24*FP9</f>
        <v>1.0173851004696102</v>
      </c>
      <c r="FE25" s="27"/>
      <c r="FF25" s="27"/>
      <c r="FG25" s="27"/>
      <c r="FH25" s="27"/>
      <c r="FI25" s="27"/>
      <c r="FJ25" s="27"/>
      <c r="FK25" s="27"/>
      <c r="FL25" s="27">
        <f>Maxy*kapa/SQRT(1+(Maxy*kapa)^2)</f>
        <v>0.97266639233894803</v>
      </c>
      <c r="FM25" s="27"/>
      <c r="FN25" s="27"/>
      <c r="FO25" s="27"/>
      <c r="FP25" s="28"/>
      <c r="FQ25" s="26" t="s">
        <v>28</v>
      </c>
      <c r="FR25" s="27">
        <f>FR24*GD9</f>
        <v>1.018231815598188</v>
      </c>
      <c r="FS25" s="27"/>
      <c r="FT25" s="27"/>
      <c r="FU25" s="27"/>
      <c r="FV25" s="27"/>
      <c r="FW25" s="27"/>
      <c r="FX25" s="27"/>
      <c r="FY25" s="27"/>
      <c r="FZ25" s="27">
        <f>Maxy*kapa/SQRT(1+(Maxy*kapa)^2)</f>
        <v>0.97266639233894803</v>
      </c>
      <c r="GA25" s="27"/>
      <c r="GB25" s="27"/>
      <c r="GC25" s="27"/>
      <c r="GD25" s="28"/>
      <c r="GE25" s="26" t="s">
        <v>28</v>
      </c>
      <c r="GF25" s="27">
        <f>GF24*GR9</f>
        <v>1.0190767768801685</v>
      </c>
      <c r="GG25" s="27"/>
      <c r="GH25" s="27"/>
      <c r="GI25" s="27"/>
      <c r="GJ25" s="27"/>
      <c r="GK25" s="27"/>
      <c r="GL25" s="27"/>
      <c r="GM25" s="27"/>
      <c r="GN25" s="27">
        <f>Maxy*kapa/SQRT(1+(Maxy*kapa)^2)</f>
        <v>0.97266639233894803</v>
      </c>
      <c r="GO25" s="27"/>
      <c r="GP25" s="27"/>
      <c r="GQ25" s="27"/>
      <c r="GR25" s="28"/>
      <c r="GS25" s="26" t="s">
        <v>28</v>
      </c>
      <c r="GT25" s="27">
        <f>GT24*HF9</f>
        <v>1.0207614558770168</v>
      </c>
      <c r="GU25" s="27"/>
      <c r="GV25" s="27"/>
      <c r="GW25" s="27"/>
      <c r="GX25" s="27"/>
      <c r="GY25" s="27"/>
      <c r="GZ25" s="27"/>
      <c r="HA25" s="27"/>
      <c r="HB25" s="27">
        <f>Maxy*kapa/SQRT(1+(Maxy*kapa)^2)</f>
        <v>0.97266639233894803</v>
      </c>
      <c r="HC25" s="27"/>
      <c r="HD25" s="27"/>
      <c r="HE25" s="27"/>
      <c r="HF25" s="28"/>
    </row>
    <row r="26" spans="1:214" ht="15.75">
      <c r="A26">
        <f t="shared" si="8"/>
        <v>20</v>
      </c>
      <c r="T26" t="s">
        <v>30</v>
      </c>
      <c r="U26" t="s">
        <v>32</v>
      </c>
      <c r="V26" s="8" t="s">
        <v>66</v>
      </c>
      <c r="W26" t="s">
        <v>67</v>
      </c>
      <c r="AB26">
        <f t="shared" si="163"/>
        <v>9</v>
      </c>
      <c r="AC26">
        <f t="shared" si="162"/>
        <v>4.39453125E-2</v>
      </c>
      <c r="AE26" t="s">
        <v>43</v>
      </c>
      <c r="AR26" t="s">
        <v>30</v>
      </c>
      <c r="AS26" t="s">
        <v>32</v>
      </c>
      <c r="AT26" s="8" t="s">
        <v>66</v>
      </c>
      <c r="AU26" t="s">
        <v>67</v>
      </c>
      <c r="AZ26" t="s">
        <v>85</v>
      </c>
      <c r="BN26" t="s">
        <v>30</v>
      </c>
      <c r="BO26" t="s">
        <v>32</v>
      </c>
      <c r="BP26" s="8" t="s">
        <v>66</v>
      </c>
      <c r="BQ26" t="s">
        <v>67</v>
      </c>
    </row>
    <row r="27" spans="1:214">
      <c r="A27">
        <f t="shared" si="8"/>
        <v>21</v>
      </c>
      <c r="T27">
        <v>0</v>
      </c>
      <c r="U27">
        <v>0</v>
      </c>
      <c r="V27">
        <f>U27/eplires</f>
        <v>0</v>
      </c>
      <c r="W27">
        <f>PI()/4+PI()/2*V27</f>
        <v>0.78539816339744828</v>
      </c>
      <c r="AB27">
        <f t="shared" si="163"/>
        <v>10</v>
      </c>
      <c r="AC27">
        <f t="shared" si="162"/>
        <v>2.197265625E-2</v>
      </c>
      <c r="AE27" t="s">
        <v>44</v>
      </c>
      <c r="AR27">
        <v>0</v>
      </c>
      <c r="AS27">
        <v>0</v>
      </c>
      <c r="AT27">
        <f>AS27/eplires</f>
        <v>0</v>
      </c>
      <c r="AU27">
        <f>PI()/4+PI()/2*AT27</f>
        <v>0.78539816339744828</v>
      </c>
      <c r="AZ27" t="s">
        <v>86</v>
      </c>
      <c r="BN27">
        <v>0</v>
      </c>
      <c r="BO27">
        <v>0</v>
      </c>
      <c r="BP27">
        <f>BO27/eplires</f>
        <v>0</v>
      </c>
      <c r="BQ27">
        <f>PI()/4+PI()/2*BP27</f>
        <v>0.78539816339744828</v>
      </c>
    </row>
    <row r="28" spans="1:214">
      <c r="A28">
        <f t="shared" si="8"/>
        <v>22</v>
      </c>
      <c r="Q28" t="e">
        <f ca="1">ELLE2(S12,SIN(arxikigon/2))</f>
        <v>#NAME?</v>
      </c>
      <c r="T28">
        <f t="shared" ref="T28:T59" si="164">T27+dt</f>
        <v>0.1</v>
      </c>
      <c r="U28">
        <f t="shared" ref="U28:U59" si="165">v0*T28+1/2*accelaration*T28^2</f>
        <v>1.48</v>
      </c>
      <c r="V28">
        <f t="shared" ref="V28:V59" si="166">INT(U28/eplires)</f>
        <v>1</v>
      </c>
      <c r="W28">
        <f>PI()/4+PI()/2*V28</f>
        <v>2.3561944901923448</v>
      </c>
      <c r="AC28">
        <f>SUM(AC17:AC27)</f>
        <v>44.97802734375</v>
      </c>
      <c r="AE28" t="s">
        <v>45</v>
      </c>
      <c r="AO28" t="e">
        <f ca="1">ELLE2(AQ12,SIN(arxikigon/2))</f>
        <v>#NAME?</v>
      </c>
      <c r="AR28">
        <f t="shared" ref="AR28:AR32" si="167">AR27+dt</f>
        <v>0.1</v>
      </c>
      <c r="AS28">
        <f t="shared" ref="AS28:AS32" si="168">v0*AR28+1/2*accelaration*AR28^2</f>
        <v>1.48</v>
      </c>
      <c r="AT28">
        <f t="shared" ref="AT28:AT32" si="169">INT(AS28/eplires)</f>
        <v>1</v>
      </c>
      <c r="AU28">
        <f>PI()/4+PI()/2*AT28</f>
        <v>2.3561944901923448</v>
      </c>
      <c r="AZ28" t="s">
        <v>87</v>
      </c>
      <c r="BK28" t="e">
        <f ca="1">ELLE2(BM12,SIN(arxikigon/2))</f>
        <v>#NAME?</v>
      </c>
      <c r="BN28">
        <f t="shared" ref="BN28:BN32" si="170">BN27+dt</f>
        <v>0.1</v>
      </c>
      <c r="BO28">
        <f t="shared" ref="BO28:BO32" si="171">v0*BN28+1/2*accelaration*BN28^2</f>
        <v>1.48</v>
      </c>
      <c r="BP28">
        <f t="shared" ref="BP28:BP32" si="172">INT(BO28/eplires)</f>
        <v>1</v>
      </c>
      <c r="BQ28">
        <f>PI()/4+PI()/2*BP28</f>
        <v>2.3561944901923448</v>
      </c>
    </row>
    <row r="29" spans="1:214">
      <c r="T29">
        <f t="shared" si="164"/>
        <v>0.2</v>
      </c>
      <c r="U29">
        <f t="shared" si="165"/>
        <v>2.92</v>
      </c>
      <c r="V29">
        <f t="shared" si="166"/>
        <v>2</v>
      </c>
      <c r="W29">
        <f t="shared" ref="W29:W92" si="173">PI()/4+PI()/2*V29</f>
        <v>3.9269908169872414</v>
      </c>
      <c r="AE29" t="s">
        <v>46</v>
      </c>
      <c r="AR29">
        <f t="shared" si="167"/>
        <v>0.2</v>
      </c>
      <c r="AS29">
        <f t="shared" si="168"/>
        <v>2.92</v>
      </c>
      <c r="AT29">
        <f t="shared" si="169"/>
        <v>2</v>
      </c>
      <c r="AU29">
        <f t="shared" ref="AU29:AU32" si="174">PI()/4+PI()/2*AT29</f>
        <v>3.9269908169872414</v>
      </c>
      <c r="AZ29" t="s">
        <v>41</v>
      </c>
      <c r="BN29">
        <f t="shared" si="170"/>
        <v>0.2</v>
      </c>
      <c r="BO29">
        <f t="shared" si="171"/>
        <v>2.92</v>
      </c>
      <c r="BP29">
        <f t="shared" si="172"/>
        <v>2</v>
      </c>
      <c r="BQ29">
        <f t="shared" ref="BQ29:BQ32" si="175">PI()/4+PI()/2*BP29</f>
        <v>3.9269908169872414</v>
      </c>
    </row>
    <row r="30" spans="1:214">
      <c r="T30">
        <f t="shared" si="164"/>
        <v>0.30000000000000004</v>
      </c>
      <c r="U30">
        <f t="shared" si="165"/>
        <v>4.3200000000000012</v>
      </c>
      <c r="V30">
        <f t="shared" si="166"/>
        <v>4</v>
      </c>
      <c r="W30">
        <f t="shared" si="173"/>
        <v>7.0685834705770345</v>
      </c>
      <c r="AE30" t="s">
        <v>47</v>
      </c>
      <c r="AR30">
        <f t="shared" si="167"/>
        <v>0.30000000000000004</v>
      </c>
      <c r="AS30">
        <f t="shared" si="168"/>
        <v>4.3200000000000012</v>
      </c>
      <c r="AT30">
        <f t="shared" si="169"/>
        <v>4</v>
      </c>
      <c r="AU30">
        <f t="shared" si="174"/>
        <v>7.0685834705770345</v>
      </c>
      <c r="AZ30" t="s">
        <v>88</v>
      </c>
      <c r="BN30">
        <f t="shared" si="170"/>
        <v>0.30000000000000004</v>
      </c>
      <c r="BO30">
        <f t="shared" si="171"/>
        <v>4.3200000000000012</v>
      </c>
      <c r="BP30">
        <f t="shared" si="172"/>
        <v>4</v>
      </c>
      <c r="BQ30">
        <f t="shared" si="175"/>
        <v>7.0685834705770345</v>
      </c>
    </row>
    <row r="31" spans="1:214">
      <c r="T31">
        <f t="shared" si="164"/>
        <v>0.4</v>
      </c>
      <c r="U31">
        <f t="shared" si="165"/>
        <v>5.68</v>
      </c>
      <c r="V31">
        <f t="shared" si="166"/>
        <v>5</v>
      </c>
      <c r="W31">
        <f t="shared" si="173"/>
        <v>8.6393797973719302</v>
      </c>
      <c r="AE31" t="s">
        <v>42</v>
      </c>
      <c r="AR31">
        <f t="shared" si="167"/>
        <v>0.4</v>
      </c>
      <c r="AS31">
        <f t="shared" si="168"/>
        <v>5.68</v>
      </c>
      <c r="AT31">
        <f t="shared" si="169"/>
        <v>5</v>
      </c>
      <c r="AU31">
        <f t="shared" si="174"/>
        <v>8.6393797973719302</v>
      </c>
      <c r="AZ31" t="s">
        <v>89</v>
      </c>
      <c r="BN31">
        <f t="shared" si="170"/>
        <v>0.4</v>
      </c>
      <c r="BO31">
        <f t="shared" si="171"/>
        <v>5.68</v>
      </c>
      <c r="BP31">
        <f t="shared" si="172"/>
        <v>5</v>
      </c>
      <c r="BQ31">
        <f t="shared" si="175"/>
        <v>8.6393797973719302</v>
      </c>
    </row>
    <row r="32" spans="1:214">
      <c r="T32">
        <f t="shared" si="164"/>
        <v>0.5</v>
      </c>
      <c r="U32">
        <f t="shared" si="165"/>
        <v>7</v>
      </c>
      <c r="V32">
        <f t="shared" si="166"/>
        <v>6</v>
      </c>
      <c r="W32">
        <f t="shared" si="173"/>
        <v>10.210176124166829</v>
      </c>
      <c r="AE32" t="s">
        <v>48</v>
      </c>
      <c r="AR32">
        <f t="shared" si="167"/>
        <v>0.5</v>
      </c>
      <c r="AS32">
        <f t="shared" si="168"/>
        <v>7</v>
      </c>
      <c r="AT32">
        <f t="shared" si="169"/>
        <v>6</v>
      </c>
      <c r="AU32">
        <f t="shared" si="174"/>
        <v>10.210176124166829</v>
      </c>
      <c r="AZ32" t="s">
        <v>90</v>
      </c>
      <c r="BN32">
        <f t="shared" si="170"/>
        <v>0.5</v>
      </c>
      <c r="BO32">
        <f t="shared" si="171"/>
        <v>7</v>
      </c>
      <c r="BP32">
        <f t="shared" si="172"/>
        <v>6</v>
      </c>
      <c r="BQ32">
        <f t="shared" si="175"/>
        <v>10.210176124166829</v>
      </c>
    </row>
    <row r="33" spans="20:52">
      <c r="T33">
        <f t="shared" si="164"/>
        <v>0.6</v>
      </c>
      <c r="U33">
        <f t="shared" si="165"/>
        <v>8.2799999999999994</v>
      </c>
      <c r="V33">
        <f t="shared" si="166"/>
        <v>7</v>
      </c>
      <c r="W33">
        <f t="shared" si="173"/>
        <v>11.780972450961723</v>
      </c>
      <c r="AE33" t="s">
        <v>49</v>
      </c>
      <c r="AZ33" t="s">
        <v>42</v>
      </c>
    </row>
    <row r="34" spans="20:52">
      <c r="T34">
        <f t="shared" si="164"/>
        <v>0.7</v>
      </c>
      <c r="U34">
        <f t="shared" si="165"/>
        <v>9.52</v>
      </c>
      <c r="V34">
        <f t="shared" si="166"/>
        <v>8</v>
      </c>
      <c r="W34">
        <f t="shared" si="173"/>
        <v>13.351768777756622</v>
      </c>
      <c r="AE34" t="s">
        <v>50</v>
      </c>
    </row>
    <row r="35" spans="20:52">
      <c r="T35">
        <f t="shared" si="164"/>
        <v>0.79999999999999993</v>
      </c>
      <c r="U35">
        <f t="shared" si="165"/>
        <v>10.719999999999999</v>
      </c>
      <c r="V35">
        <f t="shared" si="166"/>
        <v>10</v>
      </c>
      <c r="W35">
        <f t="shared" si="173"/>
        <v>16.493361431346415</v>
      </c>
      <c r="AE35" t="s">
        <v>44</v>
      </c>
      <c r="AZ35" t="s">
        <v>65</v>
      </c>
    </row>
    <row r="36" spans="20:52">
      <c r="T36">
        <f t="shared" si="164"/>
        <v>0.89999999999999991</v>
      </c>
      <c r="U36">
        <f t="shared" si="165"/>
        <v>11.879999999999999</v>
      </c>
      <c r="V36">
        <f t="shared" si="166"/>
        <v>11</v>
      </c>
      <c r="W36">
        <f t="shared" si="173"/>
        <v>18.06415775814131</v>
      </c>
      <c r="AE36" t="s">
        <v>51</v>
      </c>
    </row>
    <row r="37" spans="20:52">
      <c r="T37">
        <f t="shared" si="164"/>
        <v>0.99999999999999989</v>
      </c>
      <c r="U37">
        <f t="shared" si="165"/>
        <v>12.999999999999998</v>
      </c>
      <c r="V37">
        <f t="shared" si="166"/>
        <v>12</v>
      </c>
      <c r="W37">
        <f t="shared" si="173"/>
        <v>19.634954084936208</v>
      </c>
      <c r="AE37" t="s">
        <v>46</v>
      </c>
      <c r="AZ37" t="s">
        <v>91</v>
      </c>
    </row>
    <row r="38" spans="20:52">
      <c r="T38">
        <f t="shared" si="164"/>
        <v>1.0999999999999999</v>
      </c>
      <c r="U38">
        <f t="shared" si="165"/>
        <v>14.079999999999997</v>
      </c>
      <c r="V38">
        <f t="shared" si="166"/>
        <v>13</v>
      </c>
      <c r="W38">
        <f t="shared" si="173"/>
        <v>21.205750411731106</v>
      </c>
      <c r="AE38" t="s">
        <v>52</v>
      </c>
      <c r="AZ38" t="s">
        <v>92</v>
      </c>
    </row>
    <row r="39" spans="20:52">
      <c r="T39">
        <f t="shared" si="164"/>
        <v>1.2</v>
      </c>
      <c r="U39">
        <f t="shared" si="165"/>
        <v>15.120000000000001</v>
      </c>
      <c r="V39">
        <f t="shared" si="166"/>
        <v>14</v>
      </c>
      <c r="W39">
        <f t="shared" si="173"/>
        <v>22.776546738526001</v>
      </c>
      <c r="AE39" t="s">
        <v>42</v>
      </c>
      <c r="AZ39" t="s">
        <v>93</v>
      </c>
    </row>
    <row r="40" spans="20:52">
      <c r="T40">
        <f t="shared" si="164"/>
        <v>1.3</v>
      </c>
      <c r="U40">
        <f t="shared" si="165"/>
        <v>16.12</v>
      </c>
      <c r="V40">
        <f t="shared" si="166"/>
        <v>15</v>
      </c>
      <c r="W40">
        <f t="shared" si="173"/>
        <v>24.347343065320896</v>
      </c>
      <c r="AE40" t="s">
        <v>43</v>
      </c>
      <c r="AZ40" t="s">
        <v>94</v>
      </c>
    </row>
    <row r="41" spans="20:52">
      <c r="T41">
        <f t="shared" si="164"/>
        <v>1.4000000000000001</v>
      </c>
      <c r="U41">
        <f t="shared" si="165"/>
        <v>17.080000000000002</v>
      </c>
      <c r="V41">
        <f t="shared" si="166"/>
        <v>16</v>
      </c>
      <c r="W41">
        <f t="shared" si="173"/>
        <v>25.918139392115794</v>
      </c>
      <c r="AE41" t="s">
        <v>53</v>
      </c>
      <c r="AZ41" t="s">
        <v>95</v>
      </c>
    </row>
    <row r="42" spans="20:52">
      <c r="T42">
        <f t="shared" si="164"/>
        <v>1.5000000000000002</v>
      </c>
      <c r="U42">
        <f t="shared" si="165"/>
        <v>18</v>
      </c>
      <c r="V42">
        <f t="shared" si="166"/>
        <v>16</v>
      </c>
      <c r="W42">
        <f t="shared" si="173"/>
        <v>25.918139392115794</v>
      </c>
      <c r="AE42" t="s">
        <v>54</v>
      </c>
      <c r="AZ42" t="s">
        <v>96</v>
      </c>
    </row>
    <row r="43" spans="20:52">
      <c r="T43">
        <f t="shared" si="164"/>
        <v>1.6000000000000003</v>
      </c>
      <c r="U43">
        <f t="shared" si="165"/>
        <v>18.880000000000003</v>
      </c>
      <c r="V43">
        <f t="shared" si="166"/>
        <v>17</v>
      </c>
      <c r="W43">
        <f t="shared" si="173"/>
        <v>27.488935718910692</v>
      </c>
      <c r="AE43" t="s">
        <v>55</v>
      </c>
      <c r="AZ43" t="s">
        <v>97</v>
      </c>
    </row>
    <row r="44" spans="20:52">
      <c r="T44">
        <f t="shared" si="164"/>
        <v>1.7000000000000004</v>
      </c>
      <c r="U44">
        <f t="shared" si="165"/>
        <v>19.720000000000006</v>
      </c>
      <c r="V44">
        <f t="shared" si="166"/>
        <v>18</v>
      </c>
      <c r="W44">
        <f t="shared" si="173"/>
        <v>29.059732045705587</v>
      </c>
      <c r="AE44" t="s">
        <v>47</v>
      </c>
      <c r="AZ44" t="s">
        <v>98</v>
      </c>
    </row>
    <row r="45" spans="20:52">
      <c r="T45">
        <f t="shared" si="164"/>
        <v>1.8000000000000005</v>
      </c>
      <c r="U45">
        <f t="shared" si="165"/>
        <v>20.520000000000003</v>
      </c>
      <c r="V45">
        <f t="shared" si="166"/>
        <v>19</v>
      </c>
      <c r="W45">
        <f t="shared" si="173"/>
        <v>30.630528372500482</v>
      </c>
      <c r="AE45" t="s">
        <v>56</v>
      </c>
      <c r="AZ45" t="s">
        <v>99</v>
      </c>
    </row>
    <row r="46" spans="20:52">
      <c r="T46">
        <f t="shared" si="164"/>
        <v>1.9000000000000006</v>
      </c>
      <c r="U46">
        <f t="shared" si="165"/>
        <v>21.28</v>
      </c>
      <c r="V46">
        <f t="shared" si="166"/>
        <v>19</v>
      </c>
      <c r="W46">
        <f t="shared" si="173"/>
        <v>30.630528372500482</v>
      </c>
      <c r="AE46" t="s">
        <v>57</v>
      </c>
      <c r="AZ46" t="s">
        <v>100</v>
      </c>
    </row>
    <row r="47" spans="20:52">
      <c r="T47">
        <f t="shared" si="164"/>
        <v>2.0000000000000004</v>
      </c>
      <c r="U47">
        <f t="shared" si="165"/>
        <v>22.000000000000004</v>
      </c>
      <c r="V47">
        <f t="shared" si="166"/>
        <v>20</v>
      </c>
      <c r="W47">
        <f t="shared" si="173"/>
        <v>32.201324699295377</v>
      </c>
      <c r="AE47" t="s">
        <v>40</v>
      </c>
      <c r="AZ47" t="s">
        <v>101</v>
      </c>
    </row>
    <row r="48" spans="20:52">
      <c r="T48">
        <f t="shared" si="164"/>
        <v>2.1000000000000005</v>
      </c>
      <c r="U48">
        <f t="shared" si="165"/>
        <v>22.680000000000003</v>
      </c>
      <c r="V48">
        <f t="shared" si="166"/>
        <v>21</v>
      </c>
      <c r="W48">
        <f t="shared" si="173"/>
        <v>33.772121026090275</v>
      </c>
      <c r="AE48" t="s">
        <v>41</v>
      </c>
      <c r="AZ48" t="s">
        <v>65</v>
      </c>
    </row>
    <row r="49" spans="20:31">
      <c r="T49">
        <f t="shared" si="164"/>
        <v>2.2000000000000006</v>
      </c>
      <c r="U49">
        <f t="shared" si="165"/>
        <v>23.32</v>
      </c>
      <c r="V49">
        <f t="shared" si="166"/>
        <v>21</v>
      </c>
      <c r="W49">
        <f t="shared" si="173"/>
        <v>33.772121026090275</v>
      </c>
      <c r="AE49" t="s">
        <v>42</v>
      </c>
    </row>
    <row r="50" spans="20:31">
      <c r="T50">
        <f t="shared" si="164"/>
        <v>2.3000000000000007</v>
      </c>
      <c r="U50">
        <f t="shared" si="165"/>
        <v>23.920000000000009</v>
      </c>
      <c r="V50">
        <f t="shared" si="166"/>
        <v>22</v>
      </c>
      <c r="W50">
        <f t="shared" si="173"/>
        <v>35.342917352885166</v>
      </c>
      <c r="AE50" t="s">
        <v>54</v>
      </c>
    </row>
    <row r="51" spans="20:31">
      <c r="T51">
        <f t="shared" si="164"/>
        <v>2.4000000000000008</v>
      </c>
      <c r="U51">
        <f t="shared" si="165"/>
        <v>24.480000000000004</v>
      </c>
      <c r="V51">
        <f t="shared" si="166"/>
        <v>23</v>
      </c>
      <c r="W51">
        <f t="shared" si="173"/>
        <v>36.913713679680065</v>
      </c>
      <c r="AE51" t="s">
        <v>58</v>
      </c>
    </row>
    <row r="52" spans="20:31">
      <c r="T52">
        <f t="shared" si="164"/>
        <v>2.5000000000000009</v>
      </c>
      <c r="U52">
        <f t="shared" si="165"/>
        <v>25.000000000000007</v>
      </c>
      <c r="V52">
        <f t="shared" si="166"/>
        <v>23</v>
      </c>
      <c r="W52">
        <f t="shared" si="173"/>
        <v>36.913713679680065</v>
      </c>
      <c r="AE52" t="s">
        <v>54</v>
      </c>
    </row>
    <row r="53" spans="20:31">
      <c r="T53">
        <f t="shared" si="164"/>
        <v>2.600000000000001</v>
      </c>
      <c r="U53">
        <f t="shared" si="165"/>
        <v>25.480000000000004</v>
      </c>
      <c r="V53">
        <f t="shared" si="166"/>
        <v>23</v>
      </c>
      <c r="W53">
        <f t="shared" si="173"/>
        <v>36.913713679680065</v>
      </c>
      <c r="AE53" t="s">
        <v>59</v>
      </c>
    </row>
    <row r="54" spans="20:31">
      <c r="T54">
        <f t="shared" si="164"/>
        <v>2.7000000000000011</v>
      </c>
      <c r="U54">
        <f t="shared" si="165"/>
        <v>25.92</v>
      </c>
      <c r="V54">
        <f t="shared" si="166"/>
        <v>24</v>
      </c>
      <c r="W54">
        <f t="shared" si="173"/>
        <v>38.484510006474963</v>
      </c>
      <c r="AE54" t="s">
        <v>45</v>
      </c>
    </row>
    <row r="55" spans="20:31">
      <c r="T55">
        <f t="shared" si="164"/>
        <v>2.8000000000000012</v>
      </c>
      <c r="U55">
        <f t="shared" si="165"/>
        <v>26.32</v>
      </c>
      <c r="V55">
        <f t="shared" si="166"/>
        <v>24</v>
      </c>
      <c r="W55">
        <f t="shared" si="173"/>
        <v>38.484510006474963</v>
      </c>
      <c r="AE55" t="s">
        <v>56</v>
      </c>
    </row>
    <row r="56" spans="20:31">
      <c r="T56">
        <f t="shared" si="164"/>
        <v>2.9000000000000012</v>
      </c>
      <c r="U56">
        <f t="shared" si="165"/>
        <v>26.680000000000007</v>
      </c>
      <c r="V56">
        <f t="shared" si="166"/>
        <v>25</v>
      </c>
      <c r="W56">
        <f t="shared" si="173"/>
        <v>40.055306333269861</v>
      </c>
      <c r="AE56" t="s">
        <v>57</v>
      </c>
    </row>
    <row r="57" spans="20:31">
      <c r="T57">
        <f t="shared" si="164"/>
        <v>3.0000000000000013</v>
      </c>
      <c r="U57">
        <f t="shared" si="165"/>
        <v>27.000000000000007</v>
      </c>
      <c r="V57">
        <f t="shared" si="166"/>
        <v>25</v>
      </c>
      <c r="W57">
        <f t="shared" si="173"/>
        <v>40.055306333269861</v>
      </c>
      <c r="AE57" t="s">
        <v>40</v>
      </c>
    </row>
    <row r="58" spans="20:31">
      <c r="T58">
        <f t="shared" si="164"/>
        <v>3.1000000000000014</v>
      </c>
      <c r="U58">
        <f t="shared" si="165"/>
        <v>27.280000000000005</v>
      </c>
      <c r="V58">
        <f t="shared" si="166"/>
        <v>25</v>
      </c>
      <c r="W58">
        <f t="shared" si="173"/>
        <v>40.055306333269861</v>
      </c>
      <c r="AE58" t="s">
        <v>41</v>
      </c>
    </row>
    <row r="59" spans="20:31">
      <c r="T59">
        <f t="shared" si="164"/>
        <v>3.2000000000000015</v>
      </c>
      <c r="U59">
        <f t="shared" si="165"/>
        <v>27.520000000000003</v>
      </c>
      <c r="V59">
        <f t="shared" si="166"/>
        <v>25</v>
      </c>
      <c r="W59">
        <f t="shared" si="173"/>
        <v>40.055306333269861</v>
      </c>
      <c r="AE59" t="s">
        <v>42</v>
      </c>
    </row>
    <row r="60" spans="20:31">
      <c r="T60">
        <f t="shared" ref="T60:T91" si="176">T59+dt</f>
        <v>3.3000000000000016</v>
      </c>
      <c r="U60">
        <f t="shared" ref="U60:U91" si="177">v0*T60+1/2*accelaration*T60^2</f>
        <v>27.72</v>
      </c>
      <c r="V60">
        <f t="shared" ref="V60:V91" si="178">INT(U60/eplires)</f>
        <v>26</v>
      </c>
      <c r="W60">
        <f t="shared" si="173"/>
        <v>41.62610266006476</v>
      </c>
    </row>
    <row r="61" spans="20:31">
      <c r="T61">
        <f t="shared" si="176"/>
        <v>3.4000000000000017</v>
      </c>
      <c r="U61">
        <f t="shared" si="177"/>
        <v>27.880000000000006</v>
      </c>
      <c r="V61">
        <f t="shared" si="178"/>
        <v>26</v>
      </c>
      <c r="W61">
        <f t="shared" si="173"/>
        <v>41.62610266006476</v>
      </c>
      <c r="AE61" t="s">
        <v>54</v>
      </c>
    </row>
    <row r="62" spans="20:31">
      <c r="T62">
        <f t="shared" si="176"/>
        <v>3.5000000000000018</v>
      </c>
      <c r="U62">
        <f t="shared" si="177"/>
        <v>28.000000000000004</v>
      </c>
      <c r="V62">
        <f t="shared" si="178"/>
        <v>26</v>
      </c>
      <c r="W62">
        <f t="shared" si="173"/>
        <v>41.62610266006476</v>
      </c>
      <c r="AE62" t="s">
        <v>42</v>
      </c>
    </row>
    <row r="63" spans="20:31">
      <c r="T63">
        <f t="shared" si="176"/>
        <v>3.6000000000000019</v>
      </c>
      <c r="U63">
        <f t="shared" si="177"/>
        <v>28.080000000000002</v>
      </c>
      <c r="V63">
        <f t="shared" si="178"/>
        <v>26</v>
      </c>
      <c r="W63">
        <f t="shared" si="173"/>
        <v>41.62610266006476</v>
      </c>
      <c r="AE63" t="s">
        <v>60</v>
      </c>
    </row>
    <row r="64" spans="20:31">
      <c r="T64">
        <f t="shared" si="176"/>
        <v>3.700000000000002</v>
      </c>
      <c r="U64">
        <f t="shared" si="177"/>
        <v>28.12</v>
      </c>
      <c r="V64">
        <f t="shared" si="178"/>
        <v>26</v>
      </c>
      <c r="W64">
        <f t="shared" si="173"/>
        <v>41.62610266006476</v>
      </c>
      <c r="AE64" t="s">
        <v>61</v>
      </c>
    </row>
    <row r="65" spans="20:31">
      <c r="T65">
        <f t="shared" si="176"/>
        <v>3.800000000000002</v>
      </c>
      <c r="U65">
        <f t="shared" si="177"/>
        <v>28.119999999999997</v>
      </c>
      <c r="V65">
        <f t="shared" si="178"/>
        <v>26</v>
      </c>
      <c r="W65">
        <f t="shared" si="173"/>
        <v>41.62610266006476</v>
      </c>
      <c r="AE65" t="s">
        <v>62</v>
      </c>
    </row>
    <row r="66" spans="20:31">
      <c r="T66">
        <f t="shared" si="176"/>
        <v>3.9000000000000021</v>
      </c>
      <c r="U66">
        <f t="shared" si="177"/>
        <v>28.079999999999995</v>
      </c>
      <c r="V66">
        <f t="shared" si="178"/>
        <v>26</v>
      </c>
      <c r="W66">
        <f t="shared" si="173"/>
        <v>41.62610266006476</v>
      </c>
      <c r="AE66" t="s">
        <v>63</v>
      </c>
    </row>
    <row r="67" spans="20:31">
      <c r="T67">
        <f t="shared" si="176"/>
        <v>4.0000000000000018</v>
      </c>
      <c r="U67">
        <f t="shared" si="177"/>
        <v>28</v>
      </c>
      <c r="V67">
        <f t="shared" si="178"/>
        <v>26</v>
      </c>
      <c r="W67">
        <f t="shared" si="173"/>
        <v>41.62610266006476</v>
      </c>
      <c r="AE67" t="s">
        <v>64</v>
      </c>
    </row>
    <row r="68" spans="20:31">
      <c r="T68">
        <f t="shared" si="176"/>
        <v>4.1000000000000014</v>
      </c>
      <c r="U68">
        <f t="shared" si="177"/>
        <v>27.879999999999995</v>
      </c>
      <c r="V68">
        <f t="shared" si="178"/>
        <v>26</v>
      </c>
      <c r="W68">
        <f t="shared" si="173"/>
        <v>41.62610266006476</v>
      </c>
      <c r="AE68" t="s">
        <v>40</v>
      </c>
    </row>
    <row r="69" spans="20:31">
      <c r="T69">
        <f t="shared" si="176"/>
        <v>4.2000000000000011</v>
      </c>
      <c r="U69">
        <f t="shared" si="177"/>
        <v>27.72</v>
      </c>
      <c r="V69">
        <f t="shared" si="178"/>
        <v>26</v>
      </c>
      <c r="W69">
        <f t="shared" si="173"/>
        <v>41.62610266006476</v>
      </c>
      <c r="AE69" t="s">
        <v>65</v>
      </c>
    </row>
    <row r="70" spans="20:31">
      <c r="T70">
        <f t="shared" si="176"/>
        <v>4.3000000000000007</v>
      </c>
      <c r="U70">
        <f t="shared" si="177"/>
        <v>27.520000000000003</v>
      </c>
      <c r="V70">
        <f t="shared" si="178"/>
        <v>25</v>
      </c>
      <c r="W70">
        <f t="shared" si="173"/>
        <v>40.055306333269861</v>
      </c>
    </row>
    <row r="71" spans="20:31">
      <c r="T71">
        <f t="shared" si="176"/>
        <v>4.4000000000000004</v>
      </c>
      <c r="U71">
        <f t="shared" si="177"/>
        <v>27.279999999999994</v>
      </c>
      <c r="V71">
        <f t="shared" si="178"/>
        <v>25</v>
      </c>
      <c r="W71">
        <f t="shared" si="173"/>
        <v>40.055306333269861</v>
      </c>
    </row>
    <row r="72" spans="20:31">
      <c r="T72">
        <f t="shared" si="176"/>
        <v>4.5</v>
      </c>
      <c r="U72">
        <f t="shared" si="177"/>
        <v>27</v>
      </c>
      <c r="V72">
        <f t="shared" si="178"/>
        <v>25</v>
      </c>
      <c r="W72">
        <f t="shared" si="173"/>
        <v>40.055306333269861</v>
      </c>
    </row>
    <row r="73" spans="20:31">
      <c r="T73">
        <f t="shared" si="176"/>
        <v>4.5999999999999996</v>
      </c>
      <c r="U73">
        <f t="shared" si="177"/>
        <v>26.680000000000007</v>
      </c>
      <c r="V73">
        <f t="shared" si="178"/>
        <v>25</v>
      </c>
      <c r="W73">
        <f t="shared" si="173"/>
        <v>40.055306333269861</v>
      </c>
    </row>
    <row r="74" spans="20:31">
      <c r="T74">
        <f t="shared" si="176"/>
        <v>4.6999999999999993</v>
      </c>
      <c r="U74">
        <f t="shared" si="177"/>
        <v>26.32</v>
      </c>
      <c r="V74">
        <f t="shared" si="178"/>
        <v>24</v>
      </c>
      <c r="W74">
        <f t="shared" si="173"/>
        <v>38.484510006474963</v>
      </c>
    </row>
    <row r="75" spans="20:31">
      <c r="T75">
        <f t="shared" si="176"/>
        <v>4.7999999999999989</v>
      </c>
      <c r="U75">
        <f t="shared" si="177"/>
        <v>25.920000000000009</v>
      </c>
      <c r="V75">
        <f t="shared" si="178"/>
        <v>24</v>
      </c>
      <c r="W75">
        <f t="shared" si="173"/>
        <v>38.484510006474963</v>
      </c>
    </row>
    <row r="76" spans="20:31">
      <c r="T76">
        <f t="shared" si="176"/>
        <v>4.8999999999999986</v>
      </c>
      <c r="U76">
        <f t="shared" si="177"/>
        <v>25.479999999999997</v>
      </c>
      <c r="V76">
        <f t="shared" si="178"/>
        <v>23</v>
      </c>
      <c r="W76">
        <f t="shared" si="173"/>
        <v>36.913713679680065</v>
      </c>
    </row>
    <row r="77" spans="20:31">
      <c r="T77">
        <f t="shared" si="176"/>
        <v>4.9999999999999982</v>
      </c>
      <c r="U77">
        <f t="shared" si="177"/>
        <v>25.000000000000007</v>
      </c>
      <c r="V77">
        <f t="shared" si="178"/>
        <v>23</v>
      </c>
      <c r="W77">
        <f t="shared" si="173"/>
        <v>36.913713679680065</v>
      </c>
    </row>
    <row r="78" spans="20:31">
      <c r="T78">
        <f t="shared" si="176"/>
        <v>5.0999999999999979</v>
      </c>
      <c r="U78">
        <f t="shared" si="177"/>
        <v>24.480000000000018</v>
      </c>
      <c r="V78">
        <f t="shared" si="178"/>
        <v>23</v>
      </c>
      <c r="W78">
        <f t="shared" si="173"/>
        <v>36.913713679680065</v>
      </c>
    </row>
    <row r="79" spans="20:31">
      <c r="T79">
        <f t="shared" si="176"/>
        <v>5.1999999999999975</v>
      </c>
      <c r="U79">
        <f t="shared" si="177"/>
        <v>23.920000000000009</v>
      </c>
      <c r="V79">
        <f t="shared" si="178"/>
        <v>22</v>
      </c>
      <c r="W79">
        <f t="shared" si="173"/>
        <v>35.342917352885166</v>
      </c>
    </row>
    <row r="80" spans="20:31">
      <c r="T80">
        <f t="shared" si="176"/>
        <v>5.2999999999999972</v>
      </c>
      <c r="U80">
        <f t="shared" si="177"/>
        <v>23.320000000000014</v>
      </c>
      <c r="V80">
        <f t="shared" si="178"/>
        <v>21</v>
      </c>
      <c r="W80">
        <f t="shared" si="173"/>
        <v>33.772121026090275</v>
      </c>
    </row>
    <row r="81" spans="20:23">
      <c r="T81">
        <f t="shared" si="176"/>
        <v>5.3999999999999968</v>
      </c>
      <c r="U81">
        <f t="shared" si="177"/>
        <v>22.680000000000028</v>
      </c>
      <c r="V81">
        <f t="shared" si="178"/>
        <v>21</v>
      </c>
      <c r="W81">
        <f t="shared" si="173"/>
        <v>33.772121026090275</v>
      </c>
    </row>
    <row r="82" spans="20:23">
      <c r="T82">
        <f t="shared" si="176"/>
        <v>5.4999999999999964</v>
      </c>
      <c r="U82">
        <f t="shared" si="177"/>
        <v>22.000000000000021</v>
      </c>
      <c r="V82">
        <f t="shared" si="178"/>
        <v>20</v>
      </c>
      <c r="W82">
        <f t="shared" si="173"/>
        <v>32.201324699295377</v>
      </c>
    </row>
    <row r="83" spans="20:23">
      <c r="T83">
        <f t="shared" si="176"/>
        <v>5.5999999999999961</v>
      </c>
      <c r="U83">
        <f t="shared" si="177"/>
        <v>21.28000000000003</v>
      </c>
      <c r="V83">
        <f t="shared" si="178"/>
        <v>19</v>
      </c>
      <c r="W83">
        <f t="shared" si="173"/>
        <v>30.630528372500482</v>
      </c>
    </row>
    <row r="84" spans="20:23">
      <c r="T84">
        <f t="shared" si="176"/>
        <v>5.6999999999999957</v>
      </c>
      <c r="U84">
        <f t="shared" si="177"/>
        <v>20.520000000000039</v>
      </c>
      <c r="V84">
        <f t="shared" si="178"/>
        <v>19</v>
      </c>
      <c r="W84">
        <f t="shared" si="173"/>
        <v>30.630528372500482</v>
      </c>
    </row>
    <row r="85" spans="20:23">
      <c r="T85">
        <f t="shared" si="176"/>
        <v>5.7999999999999954</v>
      </c>
      <c r="U85">
        <f t="shared" si="177"/>
        <v>19.720000000000041</v>
      </c>
      <c r="V85">
        <f t="shared" si="178"/>
        <v>18</v>
      </c>
      <c r="W85">
        <f t="shared" si="173"/>
        <v>29.059732045705587</v>
      </c>
    </row>
    <row r="86" spans="20:23">
      <c r="T86">
        <f t="shared" si="176"/>
        <v>5.899999999999995</v>
      </c>
      <c r="U86">
        <f t="shared" si="177"/>
        <v>18.880000000000052</v>
      </c>
      <c r="V86">
        <f t="shared" si="178"/>
        <v>17</v>
      </c>
      <c r="W86">
        <f t="shared" si="173"/>
        <v>27.488935718910692</v>
      </c>
    </row>
    <row r="87" spans="20:23">
      <c r="T87">
        <f t="shared" si="176"/>
        <v>5.9999999999999947</v>
      </c>
      <c r="U87">
        <f t="shared" si="177"/>
        <v>18.000000000000043</v>
      </c>
      <c r="V87">
        <f t="shared" si="178"/>
        <v>16</v>
      </c>
      <c r="W87">
        <f t="shared" si="173"/>
        <v>25.918139392115794</v>
      </c>
    </row>
    <row r="88" spans="20:23">
      <c r="T88">
        <f t="shared" si="176"/>
        <v>6.0999999999999943</v>
      </c>
      <c r="U88">
        <f t="shared" si="177"/>
        <v>17.080000000000055</v>
      </c>
      <c r="V88">
        <f t="shared" si="178"/>
        <v>16</v>
      </c>
      <c r="W88">
        <f t="shared" si="173"/>
        <v>25.918139392115794</v>
      </c>
    </row>
    <row r="89" spans="20:23">
      <c r="T89">
        <f t="shared" si="176"/>
        <v>6.199999999999994</v>
      </c>
      <c r="U89">
        <f t="shared" si="177"/>
        <v>16.120000000000061</v>
      </c>
      <c r="V89">
        <f t="shared" si="178"/>
        <v>15</v>
      </c>
      <c r="W89">
        <f t="shared" si="173"/>
        <v>24.347343065320896</v>
      </c>
    </row>
    <row r="90" spans="20:23">
      <c r="T90">
        <f t="shared" si="176"/>
        <v>6.2999999999999936</v>
      </c>
      <c r="U90">
        <f t="shared" si="177"/>
        <v>15.120000000000061</v>
      </c>
      <c r="V90">
        <f t="shared" si="178"/>
        <v>14</v>
      </c>
      <c r="W90">
        <f t="shared" si="173"/>
        <v>22.776546738526001</v>
      </c>
    </row>
    <row r="91" spans="20:23">
      <c r="T91">
        <f t="shared" si="176"/>
        <v>6.3999999999999932</v>
      </c>
      <c r="U91">
        <f t="shared" si="177"/>
        <v>14.080000000000069</v>
      </c>
      <c r="V91">
        <f t="shared" si="178"/>
        <v>13</v>
      </c>
      <c r="W91">
        <f t="shared" si="173"/>
        <v>21.205750411731106</v>
      </c>
    </row>
    <row r="92" spans="20:23">
      <c r="T92">
        <f t="shared" ref="T92:T123" si="179">T91+dt</f>
        <v>6.4999999999999929</v>
      </c>
      <c r="U92">
        <f t="shared" ref="U92:U123" si="180">v0*T92+1/2*accelaration*T92^2</f>
        <v>13.000000000000071</v>
      </c>
      <c r="V92">
        <f t="shared" ref="V92:V123" si="181">INT(U92/eplires)</f>
        <v>12</v>
      </c>
      <c r="W92">
        <f t="shared" si="173"/>
        <v>19.634954084936208</v>
      </c>
    </row>
    <row r="93" spans="20:23">
      <c r="T93">
        <f t="shared" si="179"/>
        <v>6.5999999999999925</v>
      </c>
      <c r="U93">
        <f t="shared" si="180"/>
        <v>11.880000000000081</v>
      </c>
      <c r="V93">
        <f t="shared" si="181"/>
        <v>11</v>
      </c>
      <c r="W93">
        <f t="shared" ref="W93:W149" si="182">PI()/4+PI()/2*V93</f>
        <v>18.06415775814131</v>
      </c>
    </row>
    <row r="94" spans="20:23">
      <c r="T94">
        <f t="shared" si="179"/>
        <v>6.6999999999999922</v>
      </c>
      <c r="U94">
        <f t="shared" si="180"/>
        <v>10.720000000000098</v>
      </c>
      <c r="V94">
        <f t="shared" si="181"/>
        <v>10</v>
      </c>
      <c r="W94">
        <f t="shared" si="182"/>
        <v>16.493361431346415</v>
      </c>
    </row>
    <row r="95" spans="20:23">
      <c r="T95">
        <f t="shared" si="179"/>
        <v>6.7999999999999918</v>
      </c>
      <c r="U95">
        <f t="shared" si="180"/>
        <v>9.5200000000000955</v>
      </c>
      <c r="V95">
        <f t="shared" si="181"/>
        <v>8</v>
      </c>
      <c r="W95">
        <f t="shared" si="182"/>
        <v>13.351768777756622</v>
      </c>
    </row>
    <row r="96" spans="20:23">
      <c r="T96">
        <f t="shared" si="179"/>
        <v>6.8999999999999915</v>
      </c>
      <c r="U96">
        <f t="shared" si="180"/>
        <v>8.2800000000001006</v>
      </c>
      <c r="V96">
        <f t="shared" si="181"/>
        <v>7</v>
      </c>
      <c r="W96">
        <f t="shared" si="182"/>
        <v>11.780972450961723</v>
      </c>
    </row>
    <row r="97" spans="20:23">
      <c r="T97">
        <f t="shared" si="179"/>
        <v>6.9999999999999911</v>
      </c>
      <c r="U97">
        <f t="shared" si="180"/>
        <v>7.0000000000001279</v>
      </c>
      <c r="V97">
        <f t="shared" si="181"/>
        <v>6</v>
      </c>
      <c r="W97">
        <f t="shared" si="182"/>
        <v>10.210176124166829</v>
      </c>
    </row>
    <row r="98" spans="20:23">
      <c r="T98">
        <f t="shared" si="179"/>
        <v>7.0999999999999908</v>
      </c>
      <c r="U98">
        <f t="shared" si="180"/>
        <v>5.6800000000001205</v>
      </c>
      <c r="V98">
        <f t="shared" si="181"/>
        <v>5</v>
      </c>
      <c r="W98">
        <f t="shared" si="182"/>
        <v>8.6393797973719302</v>
      </c>
    </row>
    <row r="99" spans="20:23">
      <c r="T99">
        <f t="shared" si="179"/>
        <v>7.1999999999999904</v>
      </c>
      <c r="U99">
        <f t="shared" si="180"/>
        <v>4.3200000000001353</v>
      </c>
      <c r="V99">
        <f t="shared" si="181"/>
        <v>4</v>
      </c>
      <c r="W99">
        <f t="shared" si="182"/>
        <v>7.0685834705770345</v>
      </c>
    </row>
    <row r="100" spans="20:23">
      <c r="T100">
        <f t="shared" si="179"/>
        <v>7.2999999999999901</v>
      </c>
      <c r="U100">
        <f t="shared" si="180"/>
        <v>2.9200000000001438</v>
      </c>
      <c r="V100">
        <f t="shared" si="181"/>
        <v>2</v>
      </c>
      <c r="W100">
        <f t="shared" si="182"/>
        <v>3.9269908169872414</v>
      </c>
    </row>
    <row r="101" spans="20:23">
      <c r="T101">
        <f t="shared" si="179"/>
        <v>7.3999999999999897</v>
      </c>
      <c r="U101">
        <f t="shared" si="180"/>
        <v>1.4800000000001461</v>
      </c>
      <c r="V101">
        <f t="shared" si="181"/>
        <v>1</v>
      </c>
      <c r="W101">
        <f t="shared" si="182"/>
        <v>2.3561944901923448</v>
      </c>
    </row>
    <row r="102" spans="20:23">
      <c r="T102">
        <f t="shared" si="179"/>
        <v>7.4999999999999893</v>
      </c>
      <c r="U102">
        <f t="shared" si="180"/>
        <v>1.5631940186722204E-13</v>
      </c>
      <c r="V102">
        <f t="shared" si="181"/>
        <v>0</v>
      </c>
      <c r="W102">
        <f t="shared" si="182"/>
        <v>0.78539816339744828</v>
      </c>
    </row>
    <row r="103" spans="20:23">
      <c r="T103">
        <f t="shared" si="179"/>
        <v>7.599999999999989</v>
      </c>
      <c r="U103">
        <f t="shared" si="180"/>
        <v>-1.5199999999998397</v>
      </c>
      <c r="V103">
        <f t="shared" si="181"/>
        <v>-2</v>
      </c>
      <c r="W103">
        <f t="shared" si="182"/>
        <v>-2.3561944901923448</v>
      </c>
    </row>
    <row r="104" spans="20:23">
      <c r="T104">
        <f t="shared" si="179"/>
        <v>7.6999999999999886</v>
      </c>
      <c r="U104">
        <f t="shared" si="180"/>
        <v>-3.0799999999998136</v>
      </c>
      <c r="V104">
        <f t="shared" si="181"/>
        <v>-3</v>
      </c>
      <c r="W104">
        <f t="shared" si="182"/>
        <v>-3.9269908169872414</v>
      </c>
    </row>
    <row r="105" spans="20:23">
      <c r="T105">
        <f t="shared" si="179"/>
        <v>7.7999999999999883</v>
      </c>
      <c r="U105">
        <f t="shared" si="180"/>
        <v>-4.6799999999998079</v>
      </c>
      <c r="V105">
        <f t="shared" si="181"/>
        <v>-5</v>
      </c>
      <c r="W105">
        <f t="shared" si="182"/>
        <v>-7.0685834705770345</v>
      </c>
    </row>
    <row r="106" spans="20:23">
      <c r="T106">
        <f t="shared" si="179"/>
        <v>7.8999999999999879</v>
      </c>
      <c r="U106">
        <f t="shared" si="180"/>
        <v>-6.3199999999998084</v>
      </c>
      <c r="V106">
        <f t="shared" si="181"/>
        <v>-6</v>
      </c>
      <c r="W106">
        <f t="shared" si="182"/>
        <v>-8.6393797973719302</v>
      </c>
    </row>
    <row r="107" spans="20:23">
      <c r="T107">
        <f t="shared" si="179"/>
        <v>7.9999999999999876</v>
      </c>
      <c r="U107">
        <f t="shared" si="180"/>
        <v>-7.9999999999997868</v>
      </c>
      <c r="V107">
        <f t="shared" si="181"/>
        <v>-8</v>
      </c>
      <c r="W107">
        <f t="shared" si="182"/>
        <v>-11.780972450961723</v>
      </c>
    </row>
    <row r="108" spans="20:23">
      <c r="T108">
        <f t="shared" si="179"/>
        <v>8.0999999999999872</v>
      </c>
      <c r="U108">
        <f t="shared" si="180"/>
        <v>-9.7199999999997715</v>
      </c>
      <c r="V108">
        <f t="shared" si="181"/>
        <v>-10</v>
      </c>
      <c r="W108">
        <f t="shared" si="182"/>
        <v>-14.922565104551516</v>
      </c>
    </row>
    <row r="109" spans="20:23">
      <c r="T109">
        <f t="shared" si="179"/>
        <v>8.1999999999999869</v>
      </c>
      <c r="U109">
        <f t="shared" si="180"/>
        <v>-11.479999999999762</v>
      </c>
      <c r="V109">
        <f t="shared" si="181"/>
        <v>-11</v>
      </c>
      <c r="W109">
        <f t="shared" si="182"/>
        <v>-16.493361431346411</v>
      </c>
    </row>
    <row r="110" spans="20:23">
      <c r="T110">
        <f t="shared" si="179"/>
        <v>8.2999999999999865</v>
      </c>
      <c r="U110">
        <f t="shared" si="180"/>
        <v>-13.279999999999745</v>
      </c>
      <c r="V110">
        <f t="shared" si="181"/>
        <v>-13</v>
      </c>
      <c r="W110">
        <f t="shared" si="182"/>
        <v>-19.634954084936208</v>
      </c>
    </row>
    <row r="111" spans="20:23">
      <c r="T111">
        <f t="shared" si="179"/>
        <v>8.3999999999999861</v>
      </c>
      <c r="U111">
        <f t="shared" si="180"/>
        <v>-15.119999999999735</v>
      </c>
      <c r="V111">
        <f t="shared" si="181"/>
        <v>-15</v>
      </c>
      <c r="W111">
        <f t="shared" si="182"/>
        <v>-22.776546738525997</v>
      </c>
    </row>
    <row r="112" spans="20:23">
      <c r="T112">
        <f t="shared" si="179"/>
        <v>8.4999999999999858</v>
      </c>
      <c r="U112">
        <f t="shared" si="180"/>
        <v>-16.99999999999973</v>
      </c>
      <c r="V112">
        <f t="shared" si="181"/>
        <v>-16</v>
      </c>
      <c r="W112">
        <f t="shared" si="182"/>
        <v>-24.347343065320896</v>
      </c>
    </row>
    <row r="113" spans="20:23">
      <c r="T113">
        <f t="shared" si="179"/>
        <v>8.5999999999999854</v>
      </c>
      <c r="U113">
        <f t="shared" si="180"/>
        <v>-18.919999999999732</v>
      </c>
      <c r="V113">
        <f t="shared" si="181"/>
        <v>-18</v>
      </c>
      <c r="W113">
        <f t="shared" si="182"/>
        <v>-27.488935718910689</v>
      </c>
    </row>
    <row r="114" spans="20:23">
      <c r="T114">
        <f t="shared" si="179"/>
        <v>8.6999999999999851</v>
      </c>
      <c r="U114">
        <f t="shared" si="180"/>
        <v>-20.879999999999711</v>
      </c>
      <c r="V114">
        <f t="shared" si="181"/>
        <v>-20</v>
      </c>
      <c r="W114">
        <f t="shared" si="182"/>
        <v>-30.630528372500482</v>
      </c>
    </row>
    <row r="115" spans="20:23">
      <c r="T115">
        <f t="shared" si="179"/>
        <v>8.7999999999999847</v>
      </c>
      <c r="U115">
        <f t="shared" si="180"/>
        <v>-22.879999999999683</v>
      </c>
      <c r="V115">
        <f t="shared" si="181"/>
        <v>-22</v>
      </c>
      <c r="W115">
        <f t="shared" si="182"/>
        <v>-33.772121026090275</v>
      </c>
    </row>
    <row r="116" spans="20:23">
      <c r="T116">
        <f t="shared" si="179"/>
        <v>8.8999999999999844</v>
      </c>
      <c r="U116">
        <f t="shared" si="180"/>
        <v>-24.919999999999675</v>
      </c>
      <c r="V116">
        <f t="shared" si="181"/>
        <v>-24</v>
      </c>
      <c r="W116">
        <f t="shared" si="182"/>
        <v>-36.913713679680072</v>
      </c>
    </row>
    <row r="117" spans="20:23">
      <c r="T117">
        <f t="shared" si="179"/>
        <v>8.999999999999984</v>
      </c>
      <c r="U117">
        <f t="shared" si="180"/>
        <v>-26.999999999999659</v>
      </c>
      <c r="V117">
        <f t="shared" si="181"/>
        <v>-26</v>
      </c>
      <c r="W117">
        <f t="shared" si="182"/>
        <v>-40.055306333269868</v>
      </c>
    </row>
    <row r="118" spans="20:23">
      <c r="T118">
        <f t="shared" si="179"/>
        <v>9.0999999999999837</v>
      </c>
      <c r="U118">
        <f t="shared" si="180"/>
        <v>-29.119999999999663</v>
      </c>
      <c r="V118">
        <f t="shared" si="181"/>
        <v>-28</v>
      </c>
      <c r="W118">
        <f t="shared" si="182"/>
        <v>-43.196898986859658</v>
      </c>
    </row>
    <row r="119" spans="20:23">
      <c r="T119">
        <f t="shared" si="179"/>
        <v>9.1999999999999833</v>
      </c>
      <c r="U119">
        <f t="shared" si="180"/>
        <v>-31.279999999999632</v>
      </c>
      <c r="V119">
        <f t="shared" si="181"/>
        <v>-30</v>
      </c>
      <c r="W119">
        <f t="shared" si="182"/>
        <v>-46.338491640449448</v>
      </c>
    </row>
    <row r="120" spans="20:23">
      <c r="T120">
        <f t="shared" si="179"/>
        <v>9.2999999999999829</v>
      </c>
      <c r="U120">
        <f t="shared" si="180"/>
        <v>-33.47999999999962</v>
      </c>
      <c r="V120">
        <f t="shared" si="181"/>
        <v>-32</v>
      </c>
      <c r="W120">
        <f t="shared" si="182"/>
        <v>-49.480084294039244</v>
      </c>
    </row>
    <row r="121" spans="20:23">
      <c r="T121">
        <f t="shared" si="179"/>
        <v>9.3999999999999826</v>
      </c>
      <c r="U121">
        <f t="shared" si="180"/>
        <v>-35.719999999999601</v>
      </c>
      <c r="V121">
        <f t="shared" si="181"/>
        <v>-34</v>
      </c>
      <c r="W121">
        <f t="shared" si="182"/>
        <v>-52.621676947629041</v>
      </c>
    </row>
    <row r="122" spans="20:23">
      <c r="T122">
        <f t="shared" si="179"/>
        <v>9.4999999999999822</v>
      </c>
      <c r="U122">
        <f t="shared" si="180"/>
        <v>-37.999999999999574</v>
      </c>
      <c r="V122">
        <f t="shared" si="181"/>
        <v>-36</v>
      </c>
      <c r="W122">
        <f t="shared" si="182"/>
        <v>-55.76326960121883</v>
      </c>
    </row>
    <row r="123" spans="20:23">
      <c r="T123">
        <f t="shared" si="179"/>
        <v>9.5999999999999819</v>
      </c>
      <c r="U123">
        <f t="shared" si="180"/>
        <v>-40.319999999999595</v>
      </c>
      <c r="V123">
        <f t="shared" si="181"/>
        <v>-38</v>
      </c>
      <c r="W123">
        <f t="shared" si="182"/>
        <v>-58.90486225480862</v>
      </c>
    </row>
    <row r="124" spans="20:23">
      <c r="T124">
        <f t="shared" ref="T124:T149" si="183">T123+dt</f>
        <v>9.6999999999999815</v>
      </c>
      <c r="U124">
        <f t="shared" ref="U124:U149" si="184">v0*T124+1/2*accelaration*T124^2</f>
        <v>-42.67999999999958</v>
      </c>
      <c r="V124">
        <f t="shared" ref="V124:V149" si="185">INT(U124/eplires)</f>
        <v>-41</v>
      </c>
      <c r="W124">
        <f t="shared" si="182"/>
        <v>-63.617251235193308</v>
      </c>
    </row>
    <row r="125" spans="20:23">
      <c r="T125">
        <f t="shared" si="183"/>
        <v>9.7999999999999812</v>
      </c>
      <c r="U125">
        <f t="shared" si="184"/>
        <v>-45.079999999999558</v>
      </c>
      <c r="V125">
        <f t="shared" si="185"/>
        <v>-43</v>
      </c>
      <c r="W125">
        <f t="shared" si="182"/>
        <v>-66.758843888783105</v>
      </c>
    </row>
    <row r="126" spans="20:23">
      <c r="T126">
        <f t="shared" si="183"/>
        <v>9.8999999999999808</v>
      </c>
      <c r="U126">
        <f t="shared" si="184"/>
        <v>-47.519999999999527</v>
      </c>
      <c r="V126">
        <f t="shared" si="185"/>
        <v>-45</v>
      </c>
      <c r="W126">
        <f t="shared" si="182"/>
        <v>-69.900436542372901</v>
      </c>
    </row>
    <row r="127" spans="20:23">
      <c r="T127">
        <f t="shared" si="183"/>
        <v>9.9999999999999805</v>
      </c>
      <c r="U127">
        <f t="shared" si="184"/>
        <v>-49.999999999999488</v>
      </c>
      <c r="V127">
        <f t="shared" si="185"/>
        <v>-47</v>
      </c>
      <c r="W127">
        <f t="shared" si="182"/>
        <v>-73.042029195962698</v>
      </c>
    </row>
    <row r="128" spans="20:23">
      <c r="T128">
        <f t="shared" si="183"/>
        <v>10.09999999999998</v>
      </c>
      <c r="U128">
        <f t="shared" si="184"/>
        <v>-52.51999999999947</v>
      </c>
      <c r="V128">
        <f t="shared" si="185"/>
        <v>-50</v>
      </c>
      <c r="W128">
        <f t="shared" si="182"/>
        <v>-77.754418176347386</v>
      </c>
    </row>
    <row r="129" spans="20:23">
      <c r="T129">
        <f t="shared" si="183"/>
        <v>10.19999999999998</v>
      </c>
      <c r="U129">
        <f t="shared" si="184"/>
        <v>-55.079999999999472</v>
      </c>
      <c r="V129">
        <f t="shared" si="185"/>
        <v>-52</v>
      </c>
      <c r="W129">
        <f t="shared" si="182"/>
        <v>-80.896010829937183</v>
      </c>
    </row>
    <row r="130" spans="20:23">
      <c r="T130">
        <f t="shared" si="183"/>
        <v>10.299999999999979</v>
      </c>
      <c r="U130">
        <f t="shared" si="184"/>
        <v>-57.679999999999467</v>
      </c>
      <c r="V130">
        <f t="shared" si="185"/>
        <v>-55</v>
      </c>
      <c r="W130">
        <f t="shared" si="182"/>
        <v>-85.60839981032187</v>
      </c>
    </row>
    <row r="131" spans="20:23">
      <c r="T131">
        <f t="shared" si="183"/>
        <v>10.399999999999979</v>
      </c>
      <c r="U131">
        <f t="shared" si="184"/>
        <v>-60.319999999999453</v>
      </c>
      <c r="V131">
        <f t="shared" si="185"/>
        <v>-57</v>
      </c>
      <c r="W131">
        <f t="shared" si="182"/>
        <v>-88.749992463911653</v>
      </c>
    </row>
    <row r="132" spans="20:23">
      <c r="T132">
        <f t="shared" si="183"/>
        <v>10.499999999999979</v>
      </c>
      <c r="U132">
        <f t="shared" si="184"/>
        <v>-62.999999999999403</v>
      </c>
      <c r="V132">
        <f t="shared" si="185"/>
        <v>-60</v>
      </c>
      <c r="W132">
        <f t="shared" si="182"/>
        <v>-93.462381444296341</v>
      </c>
    </row>
    <row r="133" spans="20:23">
      <c r="T133">
        <f t="shared" si="183"/>
        <v>10.599999999999978</v>
      </c>
      <c r="U133">
        <f t="shared" si="184"/>
        <v>-65.719999999999402</v>
      </c>
      <c r="V133">
        <f t="shared" si="185"/>
        <v>-62</v>
      </c>
      <c r="W133">
        <f t="shared" si="182"/>
        <v>-96.603974097886137</v>
      </c>
    </row>
    <row r="134" spans="20:23">
      <c r="T134">
        <f t="shared" si="183"/>
        <v>10.699999999999978</v>
      </c>
      <c r="U134">
        <f t="shared" si="184"/>
        <v>-68.479999999999393</v>
      </c>
      <c r="V134">
        <f t="shared" si="185"/>
        <v>-65</v>
      </c>
      <c r="W134">
        <f t="shared" si="182"/>
        <v>-101.31636307827083</v>
      </c>
    </row>
    <row r="135" spans="20:23">
      <c r="T135">
        <f t="shared" si="183"/>
        <v>10.799999999999978</v>
      </c>
      <c r="U135">
        <f t="shared" si="184"/>
        <v>-71.279999999999376</v>
      </c>
      <c r="V135">
        <f t="shared" si="185"/>
        <v>-67</v>
      </c>
      <c r="W135">
        <f t="shared" si="182"/>
        <v>-104.45795573186062</v>
      </c>
    </row>
    <row r="136" spans="20:23">
      <c r="T136">
        <f t="shared" si="183"/>
        <v>10.899999999999977</v>
      </c>
      <c r="U136">
        <f t="shared" si="184"/>
        <v>-74.119999999999351</v>
      </c>
      <c r="V136">
        <f t="shared" si="185"/>
        <v>-70</v>
      </c>
      <c r="W136">
        <f t="shared" si="182"/>
        <v>-109.17034471224531</v>
      </c>
    </row>
    <row r="137" spans="20:23">
      <c r="T137">
        <f t="shared" si="183"/>
        <v>10.999999999999977</v>
      </c>
      <c r="U137">
        <f t="shared" si="184"/>
        <v>-76.999999999999318</v>
      </c>
      <c r="V137">
        <f t="shared" si="185"/>
        <v>-73</v>
      </c>
      <c r="W137">
        <f t="shared" si="182"/>
        <v>-113.88273369263</v>
      </c>
    </row>
    <row r="138" spans="20:23">
      <c r="T138">
        <f t="shared" si="183"/>
        <v>11.099999999999977</v>
      </c>
      <c r="U138">
        <f t="shared" si="184"/>
        <v>-79.919999999999305</v>
      </c>
      <c r="V138">
        <f t="shared" si="185"/>
        <v>-76</v>
      </c>
      <c r="W138">
        <f t="shared" si="182"/>
        <v>-118.59512267301469</v>
      </c>
    </row>
    <row r="139" spans="20:23">
      <c r="T139">
        <f t="shared" si="183"/>
        <v>11.199999999999976</v>
      </c>
      <c r="U139">
        <f t="shared" si="184"/>
        <v>-82.879999999999313</v>
      </c>
      <c r="V139">
        <f t="shared" si="185"/>
        <v>-78</v>
      </c>
      <c r="W139">
        <f t="shared" si="182"/>
        <v>-121.73671532660448</v>
      </c>
    </row>
    <row r="140" spans="20:23">
      <c r="T140">
        <f t="shared" si="183"/>
        <v>11.299999999999976</v>
      </c>
      <c r="U140">
        <f t="shared" si="184"/>
        <v>-85.879999999999285</v>
      </c>
      <c r="V140">
        <f t="shared" si="185"/>
        <v>-81</v>
      </c>
      <c r="W140">
        <f t="shared" si="182"/>
        <v>-126.44910430698917</v>
      </c>
    </row>
    <row r="141" spans="20:23">
      <c r="T141">
        <f t="shared" si="183"/>
        <v>11.399999999999975</v>
      </c>
      <c r="U141">
        <f t="shared" si="184"/>
        <v>-88.919999999999249</v>
      </c>
      <c r="V141">
        <f t="shared" si="185"/>
        <v>-84</v>
      </c>
      <c r="W141">
        <f t="shared" si="182"/>
        <v>-131.16149328737387</v>
      </c>
    </row>
    <row r="142" spans="20:23">
      <c r="T142">
        <f t="shared" si="183"/>
        <v>11.499999999999975</v>
      </c>
      <c r="U142">
        <f t="shared" si="184"/>
        <v>-91.999999999999233</v>
      </c>
      <c r="V142">
        <f t="shared" si="185"/>
        <v>-87</v>
      </c>
      <c r="W142">
        <f t="shared" si="182"/>
        <v>-135.87388226775855</v>
      </c>
    </row>
    <row r="143" spans="20:23">
      <c r="T143">
        <f t="shared" si="183"/>
        <v>11.599999999999975</v>
      </c>
      <c r="U143">
        <f t="shared" si="184"/>
        <v>-95.11999999999918</v>
      </c>
      <c r="V143">
        <f t="shared" si="185"/>
        <v>-90</v>
      </c>
      <c r="W143">
        <f t="shared" si="182"/>
        <v>-140.58627124814325</v>
      </c>
    </row>
    <row r="144" spans="20:23">
      <c r="T144">
        <f t="shared" si="183"/>
        <v>11.699999999999974</v>
      </c>
      <c r="U144">
        <f t="shared" si="184"/>
        <v>-98.279999999999177</v>
      </c>
      <c r="V144">
        <f t="shared" si="185"/>
        <v>-93</v>
      </c>
      <c r="W144">
        <f t="shared" si="182"/>
        <v>-145.29866022852792</v>
      </c>
    </row>
    <row r="145" spans="20:23">
      <c r="T145">
        <f t="shared" si="183"/>
        <v>11.799999999999974</v>
      </c>
      <c r="U145">
        <f t="shared" si="184"/>
        <v>-101.47999999999917</v>
      </c>
      <c r="V145">
        <f t="shared" si="185"/>
        <v>-96</v>
      </c>
      <c r="W145">
        <f t="shared" si="182"/>
        <v>-150.01104920891262</v>
      </c>
    </row>
    <row r="146" spans="20:23">
      <c r="T146">
        <f t="shared" si="183"/>
        <v>11.899999999999974</v>
      </c>
      <c r="U146">
        <f t="shared" si="184"/>
        <v>-104.71999999999917</v>
      </c>
      <c r="V146">
        <f t="shared" si="185"/>
        <v>-99</v>
      </c>
      <c r="W146">
        <f t="shared" si="182"/>
        <v>-154.72343818929733</v>
      </c>
    </row>
    <row r="147" spans="20:23">
      <c r="T147">
        <f t="shared" si="183"/>
        <v>11.999999999999973</v>
      </c>
      <c r="U147">
        <f t="shared" si="184"/>
        <v>-107.99999999999915</v>
      </c>
      <c r="V147">
        <f t="shared" si="185"/>
        <v>-102</v>
      </c>
      <c r="W147">
        <f t="shared" si="182"/>
        <v>-159.435827169682</v>
      </c>
    </row>
    <row r="148" spans="20:23">
      <c r="T148">
        <f t="shared" si="183"/>
        <v>12.099999999999973</v>
      </c>
      <c r="U148">
        <f t="shared" si="184"/>
        <v>-111.31999999999908</v>
      </c>
      <c r="V148">
        <f t="shared" si="185"/>
        <v>-105</v>
      </c>
      <c r="W148">
        <f t="shared" si="182"/>
        <v>-164.1482161500667</v>
      </c>
    </row>
    <row r="149" spans="20:23">
      <c r="T149">
        <f t="shared" si="183"/>
        <v>12.199999999999973</v>
      </c>
      <c r="U149">
        <f t="shared" si="184"/>
        <v>-114.67999999999904</v>
      </c>
      <c r="V149">
        <f t="shared" si="185"/>
        <v>-108</v>
      </c>
      <c r="W149">
        <f t="shared" si="182"/>
        <v>-168.86060513045138</v>
      </c>
    </row>
  </sheetData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Equation.3" shapeId="2053" r:id="rId4">
          <objectPr defaultSize="0" autoPict="0" r:id="rId5">
            <anchor moveWithCells="1" sizeWithCells="1">
              <from>
                <xdr:col>25</xdr:col>
                <xdr:colOff>323850</xdr:colOff>
                <xdr:row>0</xdr:row>
                <xdr:rowOff>0</xdr:rowOff>
              </from>
              <to>
                <xdr:col>27</xdr:col>
                <xdr:colOff>9525</xdr:colOff>
                <xdr:row>2</xdr:row>
                <xdr:rowOff>123825</xdr:rowOff>
              </to>
            </anchor>
          </objectPr>
        </oleObject>
      </mc:Choice>
      <mc:Fallback>
        <oleObject progId="Equation.3" shapeId="2053" r:id="rId4"/>
      </mc:Fallback>
    </mc:AlternateContent>
    <mc:AlternateContent xmlns:mc="http://schemas.openxmlformats.org/markup-compatibility/2006">
      <mc:Choice Requires="x14">
        <oleObject progId="Equation.3" shapeId="2052" r:id="rId6">
          <objectPr defaultSize="0" r:id="rId7">
            <anchor moveWithCells="1" sizeWithCells="1">
              <from>
                <xdr:col>25</xdr:col>
                <xdr:colOff>495300</xdr:colOff>
                <xdr:row>2</xdr:row>
                <xdr:rowOff>95250</xdr:rowOff>
              </from>
              <to>
                <xdr:col>26</xdr:col>
                <xdr:colOff>1238250</xdr:colOff>
                <xdr:row>5</xdr:row>
                <xdr:rowOff>76200</xdr:rowOff>
              </to>
            </anchor>
          </objectPr>
        </oleObject>
      </mc:Choice>
      <mc:Fallback>
        <oleObject progId="Equation.3" shapeId="2052" r:id="rId6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Φύλλο4"/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43</vt:i4>
      </vt:variant>
    </vt:vector>
  </HeadingPairs>
  <TitlesOfParts>
    <vt:vector size="46" baseType="lpstr">
      <vt:lpstr>graph</vt:lpstr>
      <vt:lpstr>Landen transform</vt:lpstr>
      <vt:lpstr>Φύλλο4</vt:lpstr>
      <vt:lpstr>accelaration</vt:lpstr>
      <vt:lpstr>aker1</vt:lpstr>
      <vt:lpstr>aker2</vt:lpstr>
      <vt:lpstr>ARPLIRON</vt:lpstr>
      <vt:lpstr>arxikigon</vt:lpstr>
      <vt:lpstr>arxikigon1</vt:lpstr>
      <vt:lpstr>arxikigon2</vt:lpstr>
      <vt:lpstr>DELTAX</vt:lpstr>
      <vt:lpstr>DELTAX10</vt:lpstr>
      <vt:lpstr>DELTAX2</vt:lpstr>
      <vt:lpstr>DELTAX3</vt:lpstr>
      <vt:lpstr>DELTAX4</vt:lpstr>
      <vt:lpstr>DELTAX5</vt:lpstr>
      <vt:lpstr>DELTAX6</vt:lpstr>
      <vt:lpstr>DELTAX7</vt:lpstr>
      <vt:lpstr>DELTAX8</vt:lpstr>
      <vt:lpstr>DELTAX9</vt:lpstr>
      <vt:lpstr>dt</vt:lpstr>
      <vt:lpstr>eplires</vt:lpstr>
      <vt:lpstr>hmiton</vt:lpstr>
      <vt:lpstr>intt1</vt:lpstr>
      <vt:lpstr>intt2_</vt:lpstr>
      <vt:lpstr>kapa</vt:lpstr>
      <vt:lpstr>kapaelliptic</vt:lpstr>
      <vt:lpstr>lamda</vt:lpstr>
      <vt:lpstr>M</vt:lpstr>
      <vt:lpstr>Maxy</vt:lpstr>
      <vt:lpstr>MM</vt:lpstr>
      <vt:lpstr>polepsilon</vt:lpstr>
      <vt:lpstr>r_</vt:lpstr>
      <vt:lpstr>rx</vt:lpstr>
      <vt:lpstr>ry</vt:lpstr>
      <vt:lpstr>SARX</vt:lpstr>
      <vt:lpstr>scurrent</vt:lpstr>
      <vt:lpstr>SDOKIMI1</vt:lpstr>
      <vt:lpstr>SDOKIMI2</vt:lpstr>
      <vt:lpstr>SDOKIMI3</vt:lpstr>
      <vt:lpstr>synim</vt:lpstr>
      <vt:lpstr>u</vt:lpstr>
      <vt:lpstr>v0</vt:lpstr>
      <vt:lpstr>xcurrent</vt:lpstr>
      <vt:lpstr>xx</vt:lpstr>
      <vt:lpstr>ycurrent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Mihas</dc:creator>
  <cp:lastModifiedBy>Pavlos Michas</cp:lastModifiedBy>
  <dcterms:created xsi:type="dcterms:W3CDTF">2013-02-06T12:29:29Z</dcterms:created>
  <dcterms:modified xsi:type="dcterms:W3CDTF">2016-11-20T17:00:48Z</dcterms:modified>
</cp:coreProperties>
</file>